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6480" windowWidth="20730" windowHeight="6525"/>
  </bookViews>
  <sheets>
    <sheet name="Sheet1" sheetId="1" r:id="rId1"/>
    <sheet name="Sheet2" sheetId="5" r:id="rId2"/>
    <sheet name="Sheet4" sheetId="4" r:id="rId3"/>
  </sheets>
  <definedNames>
    <definedName name="baseCalcs">Sheet1!$G$25</definedName>
    <definedName name="calcs">Sheet1!$D$8:$I$21</definedName>
    <definedName name="covpay">Sheet1!$AB$35</definedName>
    <definedName name="ECX">Sheet1!$I$8</definedName>
    <definedName name="eecontMax">Sheet1!$AD$35</definedName>
    <definedName name="enrollOver8">Sheet1!$AE$47:$AE$52</definedName>
    <definedName name="enrollUpTo">Sheet1!$AD$47:$AD$52</definedName>
    <definedName name="ercont">Sheet1!$I$21</definedName>
    <definedName name="keyPct">Sheet1!$AE$35</definedName>
    <definedName name="matchTable">Sheet1!$AC$47:$AC$52</definedName>
    <definedName name="myinp">Sheet4!$F$2</definedName>
    <definedName name="myout">Sheet2!#REF!</definedName>
    <definedName name="result">Sheet1!$D$25</definedName>
    <definedName name="results">Sheet1!$E$25:$E$26</definedName>
  </definedNames>
  <calcPr calcId="145621"/>
</workbook>
</file>

<file path=xl/calcChain.xml><?xml version="1.0" encoding="utf-8"?>
<calcChain xmlns="http://schemas.openxmlformats.org/spreadsheetml/2006/main">
  <c r="U39" i="1" l="1"/>
  <c r="N39" i="1"/>
  <c r="L46" i="1"/>
  <c r="L45" i="1"/>
  <c r="L44" i="1"/>
  <c r="L39" i="1" l="1"/>
  <c r="L12" i="1"/>
  <c r="L19" i="1"/>
  <c r="L9" i="1"/>
  <c r="G29" i="1" l="1"/>
  <c r="G28" i="1"/>
  <c r="H26" i="1"/>
  <c r="G26" i="1"/>
  <c r="H24" i="1"/>
  <c r="G24" i="1"/>
  <c r="H25" i="1"/>
  <c r="G25" i="1"/>
  <c r="G23" i="1"/>
  <c r="E29" i="1"/>
  <c r="E28" i="1"/>
  <c r="T39" i="1" l="1"/>
  <c r="S39" i="1"/>
  <c r="R39" i="1"/>
  <c r="Q39" i="1"/>
  <c r="P39" i="1"/>
  <c r="O39" i="1"/>
  <c r="L43" i="1"/>
  <c r="L42" i="1"/>
  <c r="L41" i="1"/>
  <c r="L40" i="1"/>
  <c r="L24" i="1" l="1"/>
  <c r="L23" i="1"/>
  <c r="L22" i="1"/>
  <c r="L21" i="1"/>
  <c r="L20" i="1"/>
  <c r="L18" i="1"/>
  <c r="L17" i="1"/>
  <c r="V16" i="1"/>
  <c r="U16" i="1"/>
  <c r="T16" i="1"/>
  <c r="S16" i="1"/>
  <c r="R16" i="1"/>
  <c r="Q16" i="1"/>
  <c r="P16" i="1"/>
  <c r="O16" i="1"/>
  <c r="N16" i="1"/>
  <c r="L16" i="1"/>
  <c r="S6" i="1"/>
  <c r="L6" i="1"/>
  <c r="L14" i="1"/>
  <c r="L13" i="1"/>
  <c r="L11" i="1"/>
  <c r="L10" i="1"/>
  <c r="L8" i="1"/>
  <c r="L7" i="1"/>
  <c r="V6" i="1"/>
  <c r="U6" i="1"/>
  <c r="T6" i="1"/>
  <c r="R6" i="1"/>
  <c r="Q6" i="1"/>
  <c r="P6" i="1"/>
  <c r="O6" i="1"/>
  <c r="N6" i="1"/>
  <c r="B21" i="1"/>
  <c r="B20" i="1"/>
  <c r="J6" i="1"/>
  <c r="I6" i="1"/>
  <c r="H6" i="1"/>
  <c r="G6" i="1"/>
  <c r="F6" i="1"/>
  <c r="E6" i="1"/>
  <c r="D6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I12" i="1"/>
  <c r="G12" i="1"/>
  <c r="I13" i="1" l="1"/>
  <c r="G13" i="1"/>
  <c r="O9" i="1" s="1"/>
  <c r="I10" i="1"/>
  <c r="H15" i="1"/>
  <c r="AB35" i="1"/>
  <c r="J29" i="1" l="1"/>
  <c r="O19" i="1"/>
  <c r="P9" i="1"/>
  <c r="P19" i="1"/>
  <c r="O30" i="1"/>
  <c r="G14" i="1"/>
  <c r="Q19" i="1" l="1"/>
  <c r="O32" i="1"/>
  <c r="J31" i="1"/>
  <c r="Q9" i="1"/>
  <c r="I14" i="1"/>
  <c r="AC46" i="1"/>
  <c r="AE46" i="1"/>
  <c r="AD46" i="1"/>
  <c r="AB46" i="1"/>
  <c r="AA46" i="1"/>
  <c r="AE36" i="1"/>
  <c r="AD36" i="1"/>
  <c r="J32" i="1" l="1"/>
  <c r="R19" i="1"/>
  <c r="S19" i="1"/>
  <c r="R9" i="1"/>
  <c r="O33" i="1"/>
  <c r="S9" i="1"/>
  <c r="I15" i="1"/>
  <c r="G17" i="1" s="1"/>
  <c r="E26" i="1" s="1"/>
  <c r="I17" i="1" l="1"/>
  <c r="AE44" i="1" l="1"/>
  <c r="AD43" i="1"/>
  <c r="AE43" i="1" l="1"/>
  <c r="AD52" i="1" s="1"/>
  <c r="AE48" i="1"/>
  <c r="AE50" i="1"/>
  <c r="AE52" i="1"/>
  <c r="AE47" i="1"/>
  <c r="AE49" i="1"/>
  <c r="AE51" i="1"/>
  <c r="I16" i="1" l="1"/>
  <c r="I18" i="1" s="1"/>
  <c r="AD50" i="1"/>
  <c r="AD48" i="1"/>
  <c r="AD51" i="1"/>
  <c r="AD49" i="1"/>
  <c r="AD47" i="1"/>
  <c r="G16" i="1" l="1"/>
  <c r="G18" i="1" l="1"/>
  <c r="I19" i="1" s="1"/>
  <c r="T9" i="1" l="1"/>
  <c r="T19" i="1"/>
  <c r="O34" i="1"/>
  <c r="I20" i="1"/>
  <c r="U9" i="1" l="1"/>
  <c r="U19" i="1"/>
  <c r="I21" i="1"/>
  <c r="E23" i="1"/>
  <c r="V19" i="1" l="1"/>
  <c r="O41" i="1"/>
  <c r="O31" i="1"/>
  <c r="J30" i="1"/>
  <c r="E25" i="1"/>
  <c r="V9" i="1"/>
</calcChain>
</file>

<file path=xl/sharedStrings.xml><?xml version="1.0" encoding="utf-8"?>
<sst xmlns="http://schemas.openxmlformats.org/spreadsheetml/2006/main" count="264" uniqueCount="100">
  <si>
    <t xml:space="preserve">This is EE pay at val year </t>
  </si>
  <si>
    <t>Factor</t>
  </si>
  <si>
    <t>Pay</t>
  </si>
  <si>
    <t>Current Table</t>
  </si>
  <si>
    <t>Adjusted Table</t>
  </si>
  <si>
    <t>Match %</t>
  </si>
  <si>
    <t>covered pay</t>
  </si>
  <si>
    <t>match pct</t>
  </si>
  <si>
    <t>max eecont</t>
  </si>
  <si>
    <t>Max EeCont</t>
  </si>
  <si>
    <t>EeCont % (Ass)</t>
  </si>
  <si>
    <t>EeCont $ split</t>
  </si>
  <si>
    <t>…with max</t>
  </si>
  <si>
    <t>Inputs</t>
  </si>
  <si>
    <t>Calculations</t>
  </si>
  <si>
    <t>(1)</t>
  </si>
  <si>
    <t>(2)</t>
  </si>
  <si>
    <t>(3)</t>
  </si>
  <si>
    <t>(4)</t>
  </si>
  <si>
    <t>(5)</t>
  </si>
  <si>
    <t>(6)</t>
  </si>
  <si>
    <t>(7)</t>
  </si>
  <si>
    <t>Input</t>
  </si>
  <si>
    <t>Output</t>
  </si>
  <si>
    <t>(0)</t>
  </si>
  <si>
    <t>Intermediate Calculations</t>
  </si>
  <si>
    <t>Matching Er Cont</t>
  </si>
  <si>
    <t>Fraction of EeCont</t>
  </si>
  <si>
    <t>ID</t>
  </si>
  <si>
    <t>Sum of above</t>
  </si>
  <si>
    <t>Election Rates</t>
  </si>
  <si>
    <t>x Election Rates</t>
  </si>
  <si>
    <t>x EeConts</t>
  </si>
  <si>
    <t>x Match %</t>
  </si>
  <si>
    <t>EeCont %</t>
  </si>
  <si>
    <t>EeCont</t>
  </si>
  <si>
    <t>(3)+(4)</t>
  </si>
  <si>
    <t>Results: Definitions and Table</t>
  </si>
  <si>
    <t>Results Table</t>
  </si>
  <si>
    <t>result def 1</t>
  </si>
  <si>
    <t>result def 2</t>
  </si>
  <si>
    <t>result def 3</t>
  </si>
  <si>
    <t>result def 4</t>
  </si>
  <si>
    <t>result def n</t>
  </si>
  <si>
    <t>calc</t>
  </si>
  <si>
    <t>Data Table Components</t>
  </si>
  <si>
    <t>¯</t>
  </si>
  <si>
    <t>column input cell</t>
  </si>
  <si>
    <t>row input cell</t>
  </si>
  <si>
    <t>Result Defs</t>
  </si>
  <si>
    <t>Data</t>
  </si>
  <si>
    <t>Table</t>
  </si>
  <si>
    <t>(column</t>
  </si>
  <si>
    <t>input)</t>
  </si>
  <si>
    <t>(row</t>
  </si>
  <si>
    <t>column input 1</t>
  </si>
  <si>
    <t>column input 2</t>
  </si>
  <si>
    <t>column input 3</t>
  </si>
  <si>
    <t>column input m</t>
  </si>
  <si>
    <t>row input 1</t>
  </si>
  <si>
    <t>row input 2</t>
  </si>
  <si>
    <t>row input 3</t>
  </si>
  <si>
    <t>row input 4</t>
  </si>
  <si>
    <t>row input m</t>
  </si>
  <si>
    <t>row input n</t>
  </si>
  <si>
    <t>result definition</t>
  </si>
  <si>
    <t>(row and</t>
  </si>
  <si>
    <r>
      <rPr>
        <sz val="11"/>
        <color theme="1"/>
        <rFont val="Arial"/>
        <family val="2"/>
      </rPr>
      <t>Results Table</t>
    </r>
    <r>
      <rPr>
        <b/>
        <sz val="11"/>
        <color theme="1"/>
        <rFont val="Arial"/>
        <family val="2"/>
      </rPr>
      <t xml:space="preserve">
</t>
    </r>
    <r>
      <rPr>
        <sz val="11"/>
        <color theme="1"/>
        <rFont val="Arial"/>
        <family val="2"/>
      </rPr>
      <t>{=TABLE(row,col)}</t>
    </r>
  </si>
  <si>
    <t>Data
Table</t>
  </si>
  <si>
    <r>
      <rPr>
        <b/>
        <sz val="10"/>
        <color theme="1"/>
        <rFont val="Wingdings"/>
        <charset val="2"/>
      </rPr>
      <t xml:space="preserve">ß         </t>
    </r>
    <r>
      <rPr>
        <b/>
        <sz val="10"/>
        <color theme="1"/>
        <rFont val="Arial"/>
        <family val="2"/>
      </rPr>
      <t xml:space="preserve">Row Inputs                      </t>
    </r>
    <r>
      <rPr>
        <b/>
        <sz val="10"/>
        <color theme="1"/>
        <rFont val="Wingdings"/>
        <charset val="2"/>
      </rPr>
      <t>à</t>
    </r>
  </si>
  <si>
    <r>
      <rPr>
        <b/>
        <sz val="10"/>
        <color theme="1"/>
        <rFont val="Wingdings"/>
        <charset val="2"/>
      </rPr>
      <t xml:space="preserve">á
</t>
    </r>
    <r>
      <rPr>
        <b/>
        <sz val="10"/>
        <color theme="1"/>
        <rFont val="Arial"/>
        <family val="2"/>
      </rPr>
      <t xml:space="preserve">Column
Inputs
</t>
    </r>
    <r>
      <rPr>
        <b/>
        <sz val="10"/>
        <color theme="1"/>
        <rFont val="Wingdings"/>
        <charset val="2"/>
      </rPr>
      <t>â
â</t>
    </r>
  </si>
  <si>
    <r>
      <rPr>
        <b/>
        <sz val="10"/>
        <color theme="1"/>
        <rFont val="Wingdings"/>
        <charset val="2"/>
      </rPr>
      <t xml:space="preserve">á
</t>
    </r>
    <r>
      <rPr>
        <b/>
        <sz val="10"/>
        <color theme="1"/>
        <rFont val="Arial"/>
        <family val="2"/>
      </rPr>
      <t xml:space="preserve">Result
Defs
</t>
    </r>
    <r>
      <rPr>
        <b/>
        <sz val="10"/>
        <color theme="1"/>
        <rFont val="Wingdings"/>
        <charset val="2"/>
      </rPr>
      <t>â
â</t>
    </r>
  </si>
  <si>
    <t>Column Variations</t>
  </si>
  <si>
    <t>Row Variations</t>
  </si>
  <si>
    <t>row variations</t>
  </si>
  <si>
    <t>column variations</t>
  </si>
  <si>
    <t>inputs)</t>
  </si>
  <si>
    <t>age</t>
  </si>
  <si>
    <t>gender</t>
  </si>
  <si>
    <t>service</t>
  </si>
  <si>
    <t>salary</t>
  </si>
  <si>
    <t>M</t>
  </si>
  <si>
    <t>F</t>
  </si>
  <si>
    <t>…</t>
  </si>
  <si>
    <t>bonus</t>
  </si>
  <si>
    <t>D</t>
  </si>
  <si>
    <t>E</t>
  </si>
  <si>
    <t>G</t>
  </si>
  <si>
    <t>H</t>
  </si>
  <si>
    <t>=age</t>
  </si>
  <si>
    <t>=EligDate</t>
  </si>
  <si>
    <t>=RetDate</t>
  </si>
  <si>
    <t>eeRow</t>
  </si>
  <si>
    <t>=Index(EmpData, eeRow, 2)</t>
  </si>
  <si>
    <r>
      <rPr>
        <b/>
        <sz val="10"/>
        <color theme="1"/>
        <rFont val="Wingdings"/>
        <charset val="2"/>
      </rPr>
      <t xml:space="preserve">ß         </t>
    </r>
    <r>
      <rPr>
        <b/>
        <sz val="10"/>
        <color theme="1"/>
        <rFont val="Arial"/>
        <family val="2"/>
      </rPr>
      <t xml:space="preserve">Row Inputs                        </t>
    </r>
    <r>
      <rPr>
        <b/>
        <sz val="10"/>
        <color theme="1"/>
        <rFont val="Wingdings"/>
        <charset val="2"/>
      </rPr>
      <t>à</t>
    </r>
  </si>
  <si>
    <t>EE Total Comp</t>
  </si>
  <si>
    <t>Section 8 Tables</t>
  </si>
  <si>
    <t>CompAct workbook to support article: Data Tables - A Variable Forecast</t>
  </si>
  <si>
    <t>Mark Horowitz, ASA SCJP, Towers Watson</t>
  </si>
  <si>
    <t>mark.horowitz@towerswatson.com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</si>
</sst>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"/>
    <numFmt numFmtId="166" formatCode="0.0000"/>
    <numFmt numFmtId="167" formatCode="&quot;$&quot;#,##0"/>
    <numFmt numFmtId="168" formatCode="#,##0.0000"/>
  </numFmts>
  <fonts count="15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i/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Symbol"/>
      <family val="1"/>
      <charset val="2"/>
    </font>
    <font>
      <b/>
      <sz val="10"/>
      <color theme="1"/>
      <name val="Wingdings"/>
      <charset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gray0625">
        <bgColor theme="0" tint="-4.9989318521683403E-2"/>
      </patternFill>
    </fill>
    <fill>
      <patternFill patternType="gray0625">
        <bgColor auto="1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183">
    <xf numFmtId="0" fontId="0" fillId="0" borderId="0" xfId="0"/>
    <xf numFmtId="43" fontId="0" fillId="0" borderId="0" xfId="0" applyNumberFormat="1"/>
    <xf numFmtId="3" fontId="0" fillId="0" borderId="0" xfId="0" applyNumberFormat="1"/>
    <xf numFmtId="0" fontId="0" fillId="0" borderId="0" xfId="0" applyFill="1"/>
    <xf numFmtId="4" fontId="0" fillId="0" borderId="0" xfId="0" applyNumberFormat="1" applyFill="1"/>
    <xf numFmtId="0" fontId="0" fillId="0" borderId="2" xfId="0" applyFill="1" applyBorder="1"/>
    <xf numFmtId="0" fontId="3" fillId="0" borderId="2" xfId="0" applyFont="1" applyFill="1" applyBorder="1"/>
    <xf numFmtId="0" fontId="0" fillId="0" borderId="0" xfId="0" quotePrefix="1" applyFill="1" applyAlignment="1">
      <alignment horizontal="center"/>
    </xf>
    <xf numFmtId="0" fontId="4" fillId="0" borderId="2" xfId="0" applyFont="1" applyBorder="1" applyAlignment="1"/>
    <xf numFmtId="0" fontId="0" fillId="0" borderId="0" xfId="0" applyFill="1" applyBorder="1"/>
    <xf numFmtId="0" fontId="0" fillId="0" borderId="0" xfId="0" quotePrefix="1" applyFill="1" applyBorder="1" applyAlignment="1">
      <alignment horizontal="center"/>
    </xf>
    <xf numFmtId="0" fontId="0" fillId="0" borderId="5" xfId="0" applyFill="1" applyBorder="1"/>
    <xf numFmtId="0" fontId="4" fillId="0" borderId="5" xfId="0" applyFont="1" applyBorder="1" applyAlignment="1">
      <alignment horizontal="center"/>
    </xf>
    <xf numFmtId="3" fontId="0" fillId="0" borderId="0" xfId="0" applyNumberFormat="1" applyFill="1" applyBorder="1"/>
    <xf numFmtId="9" fontId="0" fillId="0" borderId="0" xfId="0" applyNumberFormat="1" applyFill="1" applyBorder="1"/>
    <xf numFmtId="0" fontId="0" fillId="0" borderId="0" xfId="0" applyBorder="1"/>
    <xf numFmtId="4" fontId="0" fillId="0" borderId="0" xfId="0" applyNumberFormat="1" applyFill="1" applyBorder="1"/>
    <xf numFmtId="0" fontId="5" fillId="0" borderId="0" xfId="0" applyFont="1" applyFill="1" applyBorder="1"/>
    <xf numFmtId="166" fontId="0" fillId="0" borderId="0" xfId="0" applyNumberFormat="1" applyFill="1" applyBorder="1"/>
    <xf numFmtId="166" fontId="0" fillId="2" borderId="0" xfId="0" applyNumberFormat="1" applyFill="1" applyBorder="1"/>
    <xf numFmtId="0" fontId="4" fillId="0" borderId="1" xfId="0" applyFont="1" applyBorder="1" applyAlignment="1"/>
    <xf numFmtId="0" fontId="4" fillId="0" borderId="6" xfId="0" applyFont="1" applyBorder="1" applyAlignment="1">
      <alignment horizontal="center"/>
    </xf>
    <xf numFmtId="0" fontId="0" fillId="0" borderId="7" xfId="0" applyBorder="1"/>
    <xf numFmtId="0" fontId="0" fillId="0" borderId="6" xfId="0" quotePrefix="1" applyFill="1" applyBorder="1" applyAlignment="1">
      <alignment horizontal="center"/>
    </xf>
    <xf numFmtId="0" fontId="0" fillId="0" borderId="8" xfId="0" applyBorder="1"/>
    <xf numFmtId="0" fontId="4" fillId="0" borderId="1" xfId="0" applyFont="1" applyBorder="1"/>
    <xf numFmtId="0" fontId="3" fillId="0" borderId="3" xfId="0" applyFont="1" applyFill="1" applyBorder="1"/>
    <xf numFmtId="0" fontId="0" fillId="0" borderId="8" xfId="0" quotePrefix="1" applyFill="1" applyBorder="1" applyAlignment="1">
      <alignment horizontal="center"/>
    </xf>
    <xf numFmtId="0" fontId="0" fillId="0" borderId="9" xfId="0" applyBorder="1"/>
    <xf numFmtId="0" fontId="0" fillId="0" borderId="10" xfId="0" applyFill="1" applyBorder="1"/>
    <xf numFmtId="0" fontId="0" fillId="0" borderId="11" xfId="0" quotePrefix="1" applyFill="1" applyBorder="1" applyAlignment="1">
      <alignment horizontal="center"/>
    </xf>
    <xf numFmtId="0" fontId="0" fillId="0" borderId="20" xfId="0" quotePrefix="1" applyFill="1" applyBorder="1" applyAlignment="1">
      <alignment horizontal="center"/>
    </xf>
    <xf numFmtId="0" fontId="0" fillId="0" borderId="12" xfId="0" quotePrefix="1" applyFill="1" applyBorder="1" applyAlignment="1">
      <alignment horizontal="center"/>
    </xf>
    <xf numFmtId="0" fontId="0" fillId="0" borderId="21" xfId="0" quotePrefix="1" applyFill="1" applyBorder="1" applyAlignment="1">
      <alignment horizontal="center"/>
    </xf>
    <xf numFmtId="0" fontId="4" fillId="0" borderId="14" xfId="0" applyFont="1" applyBorder="1"/>
    <xf numFmtId="0" fontId="6" fillId="0" borderId="14" xfId="0" applyFont="1" applyBorder="1" applyAlignment="1">
      <alignment horizontal="center"/>
    </xf>
    <xf numFmtId="3" fontId="0" fillId="2" borderId="13" xfId="0" applyNumberFormat="1" applyFill="1" applyBorder="1"/>
    <xf numFmtId="164" fontId="0" fillId="2" borderId="13" xfId="0" applyNumberFormat="1" applyFill="1" applyBorder="1"/>
    <xf numFmtId="3" fontId="0" fillId="2" borderId="18" xfId="0" applyNumberFormat="1" applyFill="1" applyBorder="1"/>
    <xf numFmtId="164" fontId="0" fillId="2" borderId="18" xfId="0" applyNumberFormat="1" applyFill="1" applyBorder="1"/>
    <xf numFmtId="3" fontId="4" fillId="3" borderId="15" xfId="0" applyNumberFormat="1" applyFont="1" applyFill="1" applyBorder="1"/>
    <xf numFmtId="3" fontId="4" fillId="3" borderId="17" xfId="0" applyNumberFormat="1" applyFont="1" applyFill="1" applyBorder="1"/>
    <xf numFmtId="3" fontId="6" fillId="4" borderId="16" xfId="0" applyNumberFormat="1" applyFont="1" applyFill="1" applyBorder="1"/>
    <xf numFmtId="3" fontId="6" fillId="4" borderId="19" xfId="0" applyNumberFormat="1" applyFont="1" applyFill="1" applyBorder="1"/>
    <xf numFmtId="167" fontId="0" fillId="0" borderId="0" xfId="0" applyNumberFormat="1" applyFill="1" applyBorder="1"/>
    <xf numFmtId="167" fontId="4" fillId="3" borderId="0" xfId="0" applyNumberFormat="1" applyFont="1" applyFill="1" applyBorder="1"/>
    <xf numFmtId="167" fontId="0" fillId="2" borderId="0" xfId="0" applyNumberFormat="1" applyFill="1" applyBorder="1"/>
    <xf numFmtId="167" fontId="0" fillId="0" borderId="0" xfId="0" applyNumberFormat="1" applyBorder="1"/>
    <xf numFmtId="167" fontId="6" fillId="4" borderId="10" xfId="0" applyNumberFormat="1" applyFont="1" applyFill="1" applyBorder="1"/>
    <xf numFmtId="167" fontId="4" fillId="3" borderId="15" xfId="0" applyNumberFormat="1" applyFont="1" applyFill="1" applyBorder="1"/>
    <xf numFmtId="167" fontId="0" fillId="2" borderId="13" xfId="0" applyNumberFormat="1" applyFill="1" applyBorder="1"/>
    <xf numFmtId="167" fontId="6" fillId="4" borderId="16" xfId="0" applyNumberFormat="1" applyFont="1" applyFill="1" applyBorder="1"/>
    <xf numFmtId="0" fontId="3" fillId="0" borderId="2" xfId="0" applyFont="1" applyFill="1" applyBorder="1" applyAlignment="1">
      <alignment horizontal="right"/>
    </xf>
    <xf numFmtId="0" fontId="0" fillId="0" borderId="0" xfId="0" applyAlignment="1">
      <alignment horizontal="center"/>
    </xf>
    <xf numFmtId="10" fontId="4" fillId="3" borderId="15" xfId="0" applyNumberFormat="1" applyFont="1" applyFill="1" applyBorder="1"/>
    <xf numFmtId="10" fontId="4" fillId="3" borderId="17" xfId="0" applyNumberFormat="1" applyFont="1" applyFill="1" applyBorder="1"/>
    <xf numFmtId="167" fontId="0" fillId="0" borderId="0" xfId="0" applyNumberFormat="1"/>
    <xf numFmtId="10" fontId="4" fillId="3" borderId="15" xfId="0" applyNumberFormat="1" applyFont="1" applyFill="1" applyBorder="1" applyAlignment="1">
      <alignment horizontal="left" indent="1"/>
    </xf>
    <xf numFmtId="10" fontId="4" fillId="3" borderId="23" xfId="0" applyNumberFormat="1" applyFont="1" applyFill="1" applyBorder="1" applyAlignment="1">
      <alignment horizontal="left" indent="1"/>
    </xf>
    <xf numFmtId="10" fontId="4" fillId="3" borderId="22" xfId="0" applyNumberFormat="1" applyFont="1" applyFill="1" applyBorder="1" applyAlignment="1">
      <alignment horizontal="left" indent="1"/>
    </xf>
    <xf numFmtId="3" fontId="0" fillId="5" borderId="0" xfId="0" applyNumberFormat="1" applyFill="1" applyBorder="1"/>
    <xf numFmtId="3" fontId="0" fillId="5" borderId="10" xfId="0" applyNumberFormat="1" applyFill="1" applyBorder="1"/>
    <xf numFmtId="167" fontId="4" fillId="2" borderId="14" xfId="0" applyNumberFormat="1" applyFont="1" applyFill="1" applyBorder="1" applyAlignment="1">
      <alignment horizontal="center" wrapText="1"/>
    </xf>
    <xf numFmtId="0" fontId="4" fillId="0" borderId="14" xfId="0" applyFont="1" applyBorder="1" applyAlignment="1">
      <alignment horizontal="left" vertical="center" indent="1"/>
    </xf>
    <xf numFmtId="0" fontId="0" fillId="0" borderId="24" xfId="0" applyBorder="1" applyAlignment="1">
      <alignment horizontal="center"/>
    </xf>
    <xf numFmtId="0" fontId="4" fillId="0" borderId="0" xfId="0" applyFont="1"/>
    <xf numFmtId="0" fontId="6" fillId="0" borderId="0" xfId="0" applyFont="1"/>
    <xf numFmtId="3" fontId="0" fillId="5" borderId="6" xfId="0" applyNumberFormat="1" applyFill="1" applyBorder="1"/>
    <xf numFmtId="3" fontId="0" fillId="5" borderId="8" xfId="0" applyNumberFormat="1" applyFill="1" applyBorder="1"/>
    <xf numFmtId="3" fontId="0" fillId="5" borderId="11" xfId="0" applyNumberFormat="1" applyFill="1" applyBorder="1"/>
    <xf numFmtId="0" fontId="8" fillId="0" borderId="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0" fillId="0" borderId="0" xfId="0" quotePrefix="1"/>
    <xf numFmtId="0" fontId="4" fillId="0" borderId="14" xfId="0" applyFont="1" applyBorder="1" applyAlignment="1">
      <alignment horizontal="left" vertical="center" wrapText="1" indent="1"/>
    </xf>
    <xf numFmtId="10" fontId="4" fillId="6" borderId="15" xfId="0" applyNumberFormat="1" applyFont="1" applyFill="1" applyBorder="1" applyAlignment="1">
      <alignment horizontal="left" vertical="center" wrapText="1" indent="1"/>
    </xf>
    <xf numFmtId="10" fontId="4" fillId="3" borderId="23" xfId="0" applyNumberFormat="1" applyFont="1" applyFill="1" applyBorder="1" applyAlignment="1">
      <alignment horizontal="left" vertical="center" wrapText="1" indent="1"/>
    </xf>
    <xf numFmtId="10" fontId="4" fillId="3" borderId="22" xfId="0" applyNumberFormat="1" applyFont="1" applyFill="1" applyBorder="1" applyAlignment="1">
      <alignment horizontal="left" vertical="center" wrapText="1" indent="1"/>
    </xf>
    <xf numFmtId="0" fontId="4" fillId="0" borderId="0" xfId="0" applyFont="1" applyAlignment="1">
      <alignment wrapText="1"/>
    </xf>
    <xf numFmtId="3" fontId="0" fillId="0" borderId="0" xfId="0" applyNumberFormat="1" applyFill="1"/>
    <xf numFmtId="166" fontId="0" fillId="0" borderId="0" xfId="0" applyNumberFormat="1" applyFill="1"/>
    <xf numFmtId="10" fontId="4" fillId="3" borderId="20" xfId="0" applyNumberFormat="1" applyFont="1" applyFill="1" applyBorder="1"/>
    <xf numFmtId="167" fontId="0" fillId="2" borderId="0" xfId="0" applyNumberFormat="1" applyFill="1"/>
    <xf numFmtId="0" fontId="0" fillId="2" borderId="0" xfId="0" applyFill="1"/>
    <xf numFmtId="166" fontId="0" fillId="2" borderId="0" xfId="0" applyNumberFormat="1" applyFill="1"/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4" fillId="0" borderId="14" xfId="0" applyFont="1" applyBorder="1" applyAlignment="1">
      <alignment horizontal="left" vertical="center"/>
    </xf>
    <xf numFmtId="0" fontId="6" fillId="0" borderId="28" xfId="0" applyFont="1" applyBorder="1"/>
    <xf numFmtId="0" fontId="4" fillId="0" borderId="28" xfId="0" applyFont="1" applyBorder="1"/>
    <xf numFmtId="0" fontId="0" fillId="0" borderId="29" xfId="0" applyBorder="1"/>
    <xf numFmtId="3" fontId="0" fillId="0" borderId="29" xfId="0" applyNumberFormat="1" applyBorder="1"/>
    <xf numFmtId="0" fontId="0" fillId="0" borderId="28" xfId="0" applyBorder="1"/>
    <xf numFmtId="3" fontId="0" fillId="0" borderId="28" xfId="0" applyNumberFormat="1" applyBorder="1"/>
    <xf numFmtId="0" fontId="4" fillId="0" borderId="0" xfId="0" applyFont="1" applyAlignment="1">
      <alignment horizontal="center"/>
    </xf>
    <xf numFmtId="0" fontId="0" fillId="2" borderId="29" xfId="0" applyFill="1" applyBorder="1"/>
    <xf numFmtId="3" fontId="0" fillId="2" borderId="29" xfId="0" applyNumberFormat="1" applyFill="1" applyBorder="1"/>
    <xf numFmtId="0" fontId="0" fillId="2" borderId="28" xfId="0" applyFill="1" applyBorder="1"/>
    <xf numFmtId="3" fontId="0" fillId="2" borderId="28" xfId="0" applyNumberFormat="1" applyFill="1" applyBorder="1"/>
    <xf numFmtId="0" fontId="4" fillId="2" borderId="28" xfId="0" applyFont="1" applyFill="1" applyBorder="1"/>
    <xf numFmtId="3" fontId="4" fillId="2" borderId="28" xfId="0" applyNumberFormat="1" applyFont="1" applyFill="1" applyBorder="1"/>
    <xf numFmtId="3" fontId="4" fillId="3" borderId="23" xfId="0" applyNumberFormat="1" applyFont="1" applyFill="1" applyBorder="1"/>
    <xf numFmtId="0" fontId="4" fillId="0" borderId="8" xfId="0" applyFont="1" applyBorder="1" applyAlignment="1">
      <alignment horizontal="center"/>
    </xf>
    <xf numFmtId="0" fontId="0" fillId="0" borderId="14" xfId="0" applyBorder="1"/>
    <xf numFmtId="10" fontId="4" fillId="0" borderId="15" xfId="0" applyNumberFormat="1" applyFont="1" applyFill="1" applyBorder="1" applyAlignment="1">
      <alignment horizontal="left" indent="1"/>
    </xf>
    <xf numFmtId="167" fontId="4" fillId="6" borderId="0" xfId="0" applyNumberFormat="1" applyFont="1" applyFill="1" applyBorder="1" applyAlignment="1">
      <alignment horizontal="center" wrapText="1"/>
    </xf>
    <xf numFmtId="167" fontId="4" fillId="6" borderId="6" xfId="0" applyNumberFormat="1" applyFont="1" applyFill="1" applyBorder="1" applyAlignment="1">
      <alignment horizontal="center" wrapText="1"/>
    </xf>
    <xf numFmtId="0" fontId="0" fillId="0" borderId="0" xfId="0" applyFill="1" applyBorder="1" applyAlignment="1"/>
    <xf numFmtId="0" fontId="4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0" fontId="4" fillId="0" borderId="0" xfId="0" applyNumberFormat="1" applyFont="1" applyFill="1" applyBorder="1" applyAlignment="1"/>
    <xf numFmtId="9" fontId="4" fillId="3" borderId="14" xfId="0" applyNumberFormat="1" applyFont="1" applyFill="1" applyBorder="1"/>
    <xf numFmtId="167" fontId="4" fillId="3" borderId="23" xfId="0" applyNumberFormat="1" applyFont="1" applyFill="1" applyBorder="1"/>
    <xf numFmtId="3" fontId="4" fillId="3" borderId="22" xfId="0" applyNumberFormat="1" applyFont="1" applyFill="1" applyBorder="1"/>
    <xf numFmtId="3" fontId="0" fillId="2" borderId="4" xfId="0" applyNumberFormat="1" applyFill="1" applyBorder="1"/>
    <xf numFmtId="3" fontId="0" fillId="2" borderId="5" xfId="0" applyNumberFormat="1" applyFill="1" applyBorder="1"/>
    <xf numFmtId="3" fontId="0" fillId="2" borderId="6" xfId="0" applyNumberFormat="1" applyFill="1" applyBorder="1"/>
    <xf numFmtId="3" fontId="0" fillId="2" borderId="7" xfId="0" applyNumberFormat="1" applyFill="1" applyBorder="1"/>
    <xf numFmtId="3" fontId="0" fillId="2" borderId="0" xfId="0" applyNumberFormat="1" applyFill="1" applyBorder="1"/>
    <xf numFmtId="3" fontId="0" fillId="2" borderId="8" xfId="0" applyNumberFormat="1" applyFill="1" applyBorder="1"/>
    <xf numFmtId="3" fontId="0" fillId="2" borderId="9" xfId="0" applyNumberFormat="1" applyFill="1" applyBorder="1"/>
    <xf numFmtId="3" fontId="0" fillId="2" borderId="10" xfId="0" applyNumberFormat="1" applyFill="1" applyBorder="1"/>
    <xf numFmtId="3" fontId="0" fillId="2" borderId="11" xfId="0" applyNumberFormat="1" applyFill="1" applyBorder="1"/>
    <xf numFmtId="3" fontId="12" fillId="3" borderId="23" xfId="0" applyNumberFormat="1" applyFont="1" applyFill="1" applyBorder="1"/>
    <xf numFmtId="168" fontId="13" fillId="2" borderId="30" xfId="0" applyNumberFormat="1" applyFont="1" applyFill="1" applyBorder="1"/>
    <xf numFmtId="168" fontId="13" fillId="2" borderId="28" xfId="0" applyNumberFormat="1" applyFont="1" applyFill="1" applyBorder="1"/>
    <xf numFmtId="168" fontId="13" fillId="2" borderId="31" xfId="0" applyNumberFormat="1" applyFont="1" applyFill="1" applyBorder="1"/>
    <xf numFmtId="0" fontId="0" fillId="7" borderId="0" xfId="0" applyFill="1"/>
    <xf numFmtId="0" fontId="0" fillId="7" borderId="0" xfId="0" applyFill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9" fontId="0" fillId="7" borderId="4" xfId="3" applyFont="1" applyFill="1" applyBorder="1" applyAlignment="1">
      <alignment horizontal="right"/>
    </xf>
    <xf numFmtId="9" fontId="0" fillId="7" borderId="5" xfId="1" applyNumberFormat="1" applyFont="1" applyFill="1" applyBorder="1" applyAlignment="1">
      <alignment horizontal="right"/>
    </xf>
    <xf numFmtId="9" fontId="0" fillId="7" borderId="6" xfId="1" applyNumberFormat="1" applyFont="1" applyFill="1" applyBorder="1" applyAlignment="1">
      <alignment horizontal="right"/>
    </xf>
    <xf numFmtId="9" fontId="0" fillId="7" borderId="7" xfId="3" applyFont="1" applyFill="1" applyBorder="1" applyAlignment="1">
      <alignment horizontal="right"/>
    </xf>
    <xf numFmtId="9" fontId="0" fillId="7" borderId="0" xfId="1" applyNumberFormat="1" applyFont="1" applyFill="1" applyBorder="1" applyAlignment="1">
      <alignment horizontal="right"/>
    </xf>
    <xf numFmtId="9" fontId="0" fillId="7" borderId="8" xfId="1" applyNumberFormat="1" applyFont="1" applyFill="1" applyBorder="1" applyAlignment="1">
      <alignment horizontal="right"/>
    </xf>
    <xf numFmtId="9" fontId="1" fillId="7" borderId="9" xfId="3" applyFont="1" applyFill="1" applyBorder="1" applyAlignment="1">
      <alignment horizontal="right"/>
    </xf>
    <xf numFmtId="9" fontId="1" fillId="7" borderId="10" xfId="1" applyNumberFormat="1" applyFont="1" applyFill="1" applyBorder="1" applyAlignment="1">
      <alignment horizontal="right"/>
    </xf>
    <xf numFmtId="9" fontId="1" fillId="7" borderId="11" xfId="1" applyNumberFormat="1" applyFont="1" applyFill="1" applyBorder="1" applyAlignment="1">
      <alignment horizontal="right"/>
    </xf>
    <xf numFmtId="37" fontId="1" fillId="7" borderId="0" xfId="2" applyNumberFormat="1" applyFont="1" applyFill="1" applyAlignment="1">
      <alignment horizontal="right"/>
    </xf>
    <xf numFmtId="3" fontId="0" fillId="7" borderId="0" xfId="0" applyNumberFormat="1" applyFill="1" applyAlignment="1">
      <alignment horizontal="right"/>
    </xf>
    <xf numFmtId="0" fontId="0" fillId="7" borderId="0" xfId="0" applyFill="1" applyAlignment="1">
      <alignment horizontal="right"/>
    </xf>
    <xf numFmtId="0" fontId="0" fillId="7" borderId="0" xfId="0" applyFill="1" applyBorder="1"/>
    <xf numFmtId="0" fontId="0" fillId="7" borderId="0" xfId="0" applyFill="1" applyBorder="1" applyAlignment="1">
      <alignment horizontal="right"/>
    </xf>
    <xf numFmtId="37" fontId="1" fillId="7" borderId="0" xfId="2" applyNumberFormat="1" applyFont="1" applyFill="1" applyBorder="1" applyAlignment="1">
      <alignment horizontal="right"/>
    </xf>
    <xf numFmtId="0" fontId="0" fillId="7" borderId="10" xfId="0" applyFill="1" applyBorder="1" applyAlignment="1">
      <alignment horizontal="right"/>
    </xf>
    <xf numFmtId="0" fontId="0" fillId="7" borderId="2" xfId="0" applyNumberFormat="1" applyFill="1" applyBorder="1" applyAlignment="1">
      <alignment horizontal="right"/>
    </xf>
    <xf numFmtId="37" fontId="1" fillId="7" borderId="2" xfId="2" applyNumberFormat="1" applyFont="1" applyFill="1" applyBorder="1" applyAlignment="1">
      <alignment horizontal="right"/>
    </xf>
    <xf numFmtId="0" fontId="0" fillId="7" borderId="0" xfId="0" applyFill="1" applyBorder="1" applyAlignment="1">
      <alignment horizontal="center"/>
    </xf>
    <xf numFmtId="0" fontId="0" fillId="7" borderId="10" xfId="0" applyFill="1" applyBorder="1"/>
    <xf numFmtId="0" fontId="0" fillId="0" borderId="10" xfId="0" applyBorder="1"/>
    <xf numFmtId="37" fontId="1" fillId="7" borderId="10" xfId="2" applyNumberFormat="1" applyFont="1" applyFill="1" applyBorder="1" applyAlignment="1">
      <alignment horizontal="right"/>
    </xf>
    <xf numFmtId="9" fontId="0" fillId="7" borderId="10" xfId="0" applyNumberFormat="1" applyFill="1" applyBorder="1" applyAlignment="1">
      <alignment horizontal="right"/>
    </xf>
    <xf numFmtId="3" fontId="0" fillId="7" borderId="10" xfId="0" applyNumberFormat="1" applyFill="1" applyBorder="1" applyAlignment="1">
      <alignment horizontal="right"/>
    </xf>
    <xf numFmtId="165" fontId="0" fillId="7" borderId="0" xfId="0" applyNumberFormat="1" applyFont="1" applyFill="1" applyAlignment="1">
      <alignment horizontal="right"/>
    </xf>
    <xf numFmtId="165" fontId="0" fillId="7" borderId="10" xfId="0" applyNumberFormat="1" applyFont="1" applyFill="1" applyBorder="1" applyAlignment="1">
      <alignment horizontal="right"/>
    </xf>
    <xf numFmtId="14" fontId="6" fillId="0" borderId="0" xfId="0" applyNumberFormat="1" applyFont="1"/>
    <xf numFmtId="0" fontId="14" fillId="0" borderId="0" xfId="4"/>
    <xf numFmtId="0" fontId="4" fillId="0" borderId="25" xfId="0" applyFont="1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3" fontId="7" fillId="5" borderId="0" xfId="0" applyNumberFormat="1" applyFont="1" applyFill="1" applyBorder="1" applyAlignment="1">
      <alignment horizontal="center"/>
    </xf>
    <xf numFmtId="0" fontId="0" fillId="0" borderId="0" xfId="0" applyAlignment="1"/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/>
    <xf numFmtId="0" fontId="2" fillId="7" borderId="1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2" xfId="0" applyBorder="1" applyAlignment="1"/>
    <xf numFmtId="3" fontId="10" fillId="5" borderId="0" xfId="0" applyNumberFormat="1" applyFont="1" applyFill="1" applyBorder="1" applyAlignment="1">
      <alignment horizontal="center" wrapText="1"/>
    </xf>
    <xf numFmtId="0" fontId="11" fillId="0" borderId="0" xfId="0" applyFont="1" applyAlignment="1"/>
    <xf numFmtId="0" fontId="4" fillId="0" borderId="14" xfId="0" applyFont="1" applyBorder="1" applyAlignment="1">
      <alignment horizontal="center"/>
    </xf>
    <xf numFmtId="3" fontId="4" fillId="3" borderId="15" xfId="0" applyNumberFormat="1" applyFont="1" applyFill="1" applyBorder="1" applyAlignment="1"/>
    <xf numFmtId="0" fontId="0" fillId="0" borderId="13" xfId="0" applyBorder="1" applyAlignment="1"/>
    <xf numFmtId="0" fontId="0" fillId="0" borderId="16" xfId="0" applyBorder="1" applyAlignmen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8" fontId="13" fillId="3" borderId="30" xfId="0" applyNumberFormat="1" applyFont="1" applyFill="1" applyBorder="1"/>
    <xf numFmtId="168" fontId="13" fillId="3" borderId="28" xfId="0" applyNumberFormat="1" applyFont="1" applyFill="1" applyBorder="1"/>
    <xf numFmtId="168" fontId="13" fillId="3" borderId="31" xfId="0" applyNumberFormat="1" applyFont="1" applyFill="1" applyBorder="1"/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942976</xdr:colOff>
      <xdr:row>99</xdr:row>
      <xdr:rowOff>47625</xdr:rowOff>
    </xdr:from>
    <xdr:to>
      <xdr:col>54</xdr:col>
      <xdr:colOff>200025</xdr:colOff>
      <xdr:row>106</xdr:row>
      <xdr:rowOff>123825</xdr:rowOff>
    </xdr:to>
    <xdr:sp macro="" textlink="">
      <xdr:nvSpPr>
        <xdr:cNvPr id="4" name="Rounded Rectangle 3"/>
        <xdr:cNvSpPr/>
      </xdr:nvSpPr>
      <xdr:spPr>
        <a:xfrm>
          <a:off x="30870526" y="16078200"/>
          <a:ext cx="2076449" cy="1209675"/>
        </a:xfrm>
        <a:prstGeom prst="roundRect">
          <a:avLst/>
        </a:prstGeom>
        <a:solidFill>
          <a:schemeClr val="accent1">
            <a:alpha val="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49</xdr:col>
      <xdr:colOff>180975</xdr:colOff>
      <xdr:row>111</xdr:row>
      <xdr:rowOff>161926</xdr:rowOff>
    </xdr:from>
    <xdr:to>
      <xdr:col>57</xdr:col>
      <xdr:colOff>173934</xdr:colOff>
      <xdr:row>116</xdr:row>
      <xdr:rowOff>38101</xdr:rowOff>
    </xdr:to>
    <xdr:sp macro="" textlink="">
      <xdr:nvSpPr>
        <xdr:cNvPr id="6" name="Rounded Rectangle 5"/>
        <xdr:cNvSpPr/>
      </xdr:nvSpPr>
      <xdr:spPr>
        <a:xfrm>
          <a:off x="30048062" y="18574165"/>
          <a:ext cx="5649981" cy="787262"/>
        </a:xfrm>
        <a:prstGeom prst="roundRect">
          <a:avLst/>
        </a:prstGeom>
        <a:solidFill>
          <a:schemeClr val="accent1">
            <a:alpha val="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57</xdr:col>
      <xdr:colOff>173934</xdr:colOff>
      <xdr:row>114</xdr:row>
      <xdr:rowOff>17187</xdr:rowOff>
    </xdr:from>
    <xdr:to>
      <xdr:col>59</xdr:col>
      <xdr:colOff>2</xdr:colOff>
      <xdr:row>114</xdr:row>
      <xdr:rowOff>19051</xdr:rowOff>
    </xdr:to>
    <xdr:cxnSp macro="">
      <xdr:nvCxnSpPr>
        <xdr:cNvPr id="8" name="Straight Arrow Connector 7"/>
        <xdr:cNvCxnSpPr>
          <a:endCxn id="6" idx="3"/>
        </xdr:cNvCxnSpPr>
      </xdr:nvCxnSpPr>
      <xdr:spPr>
        <a:xfrm flipH="1" flipV="1">
          <a:off x="35698043" y="18967796"/>
          <a:ext cx="538372" cy="1864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49</xdr:col>
      <xdr:colOff>180976</xdr:colOff>
      <xdr:row>120</xdr:row>
      <xdr:rowOff>142876</xdr:rowOff>
    </xdr:from>
    <xdr:to>
      <xdr:col>57</xdr:col>
      <xdr:colOff>132522</xdr:colOff>
      <xdr:row>125</xdr:row>
      <xdr:rowOff>47626</xdr:rowOff>
    </xdr:to>
    <xdr:sp macro="" textlink="">
      <xdr:nvSpPr>
        <xdr:cNvPr id="12" name="Rounded Rectangle 11"/>
        <xdr:cNvSpPr/>
      </xdr:nvSpPr>
      <xdr:spPr>
        <a:xfrm>
          <a:off x="30048063" y="20161941"/>
          <a:ext cx="5608568" cy="790989"/>
        </a:xfrm>
        <a:prstGeom prst="roundRect">
          <a:avLst/>
        </a:prstGeom>
        <a:solidFill>
          <a:schemeClr val="accent1">
            <a:alpha val="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58</xdr:col>
      <xdr:colOff>0</xdr:colOff>
      <xdr:row>123</xdr:row>
      <xdr:rowOff>19050</xdr:rowOff>
    </xdr:from>
    <xdr:to>
      <xdr:col>59</xdr:col>
      <xdr:colOff>9525</xdr:colOff>
      <xdr:row>123</xdr:row>
      <xdr:rowOff>19051</xdr:rowOff>
    </xdr:to>
    <xdr:cxnSp macro="">
      <xdr:nvCxnSpPr>
        <xdr:cNvPr id="13" name="Straight Arrow Connector 12"/>
        <xdr:cNvCxnSpPr/>
      </xdr:nvCxnSpPr>
      <xdr:spPr>
        <a:xfrm flipH="1">
          <a:off x="35756850" y="20126325"/>
          <a:ext cx="323850" cy="1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54</xdr:col>
      <xdr:colOff>666751</xdr:colOff>
      <xdr:row>99</xdr:row>
      <xdr:rowOff>57150</xdr:rowOff>
    </xdr:from>
    <xdr:to>
      <xdr:col>57</xdr:col>
      <xdr:colOff>200025</xdr:colOff>
      <xdr:row>106</xdr:row>
      <xdr:rowOff>133350</xdr:rowOff>
    </xdr:to>
    <xdr:sp macro="" textlink="">
      <xdr:nvSpPr>
        <xdr:cNvPr id="14" name="Rounded Rectangle 13"/>
        <xdr:cNvSpPr/>
      </xdr:nvSpPr>
      <xdr:spPr>
        <a:xfrm>
          <a:off x="33413701" y="16087725"/>
          <a:ext cx="2076449" cy="1209675"/>
        </a:xfrm>
        <a:prstGeom prst="roundRect">
          <a:avLst/>
        </a:prstGeom>
        <a:solidFill>
          <a:schemeClr val="accent1">
            <a:alpha val="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49</xdr:col>
      <xdr:colOff>24848</xdr:colOff>
      <xdr:row>134</xdr:row>
      <xdr:rowOff>99392</xdr:rowOff>
    </xdr:from>
    <xdr:to>
      <xdr:col>57</xdr:col>
      <xdr:colOff>132522</xdr:colOff>
      <xdr:row>139</xdr:row>
      <xdr:rowOff>107674</xdr:rowOff>
    </xdr:to>
    <xdr:sp macro="" textlink="">
      <xdr:nvSpPr>
        <xdr:cNvPr id="9" name="Rounded Rectangle 8"/>
        <xdr:cNvSpPr/>
      </xdr:nvSpPr>
      <xdr:spPr>
        <a:xfrm>
          <a:off x="29891935" y="22006892"/>
          <a:ext cx="3843130" cy="1532282"/>
        </a:xfrm>
        <a:prstGeom prst="roundRect">
          <a:avLst/>
        </a:prstGeom>
        <a:solidFill>
          <a:schemeClr val="accent1">
            <a:alpha val="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58</xdr:col>
      <xdr:colOff>0</xdr:colOff>
      <xdr:row>137</xdr:row>
      <xdr:rowOff>19050</xdr:rowOff>
    </xdr:from>
    <xdr:to>
      <xdr:col>59</xdr:col>
      <xdr:colOff>9525</xdr:colOff>
      <xdr:row>137</xdr:row>
      <xdr:rowOff>19051</xdr:rowOff>
    </xdr:to>
    <xdr:cxnSp macro="">
      <xdr:nvCxnSpPr>
        <xdr:cNvPr id="10" name="Straight Arrow Connector 9"/>
        <xdr:cNvCxnSpPr/>
      </xdr:nvCxnSpPr>
      <xdr:spPr>
        <a:xfrm flipH="1">
          <a:off x="35987935" y="20551637"/>
          <a:ext cx="258003" cy="1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942976</xdr:colOff>
      <xdr:row>4</xdr:row>
      <xdr:rowOff>47625</xdr:rowOff>
    </xdr:from>
    <xdr:to>
      <xdr:col>7</xdr:col>
      <xdr:colOff>200025</xdr:colOff>
      <xdr:row>11</xdr:row>
      <xdr:rowOff>123825</xdr:rowOff>
    </xdr:to>
    <xdr:sp macro="" textlink="">
      <xdr:nvSpPr>
        <xdr:cNvPr id="2" name="Rounded Rectangle 1"/>
        <xdr:cNvSpPr/>
      </xdr:nvSpPr>
      <xdr:spPr>
        <a:xfrm>
          <a:off x="32423101" y="15821025"/>
          <a:ext cx="1666874" cy="1209675"/>
        </a:xfrm>
        <a:prstGeom prst="roundRect">
          <a:avLst/>
        </a:prstGeom>
        <a:solidFill>
          <a:schemeClr val="accent1">
            <a:alpha val="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28575</xdr:colOff>
      <xdr:row>16</xdr:row>
      <xdr:rowOff>123825</xdr:rowOff>
    </xdr:from>
    <xdr:to>
      <xdr:col>10</xdr:col>
      <xdr:colOff>104775</xdr:colOff>
      <xdr:row>22</xdr:row>
      <xdr:rowOff>47626</xdr:rowOff>
    </xdr:to>
    <xdr:sp macro="" textlink="">
      <xdr:nvSpPr>
        <xdr:cNvPr id="3" name="Rounded Rectangle 2"/>
        <xdr:cNvSpPr/>
      </xdr:nvSpPr>
      <xdr:spPr>
        <a:xfrm>
          <a:off x="638175" y="2752725"/>
          <a:ext cx="4352925" cy="1123951"/>
        </a:xfrm>
        <a:prstGeom prst="roundRect">
          <a:avLst/>
        </a:prstGeom>
        <a:solidFill>
          <a:schemeClr val="accent1">
            <a:alpha val="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104775</xdr:colOff>
      <xdr:row>19</xdr:row>
      <xdr:rowOff>19050</xdr:rowOff>
    </xdr:from>
    <xdr:to>
      <xdr:col>12</xdr:col>
      <xdr:colOff>0</xdr:colOff>
      <xdr:row>19</xdr:row>
      <xdr:rowOff>19051</xdr:rowOff>
    </xdr:to>
    <xdr:cxnSp macro="">
      <xdr:nvCxnSpPr>
        <xdr:cNvPr id="4" name="Straight Arrow Connector 3"/>
        <xdr:cNvCxnSpPr>
          <a:endCxn id="3" idx="3"/>
        </xdr:cNvCxnSpPr>
      </xdr:nvCxnSpPr>
      <xdr:spPr>
        <a:xfrm flipH="1">
          <a:off x="4991100" y="3314700"/>
          <a:ext cx="247650" cy="1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19051</xdr:colOff>
      <xdr:row>26</xdr:row>
      <xdr:rowOff>114300</xdr:rowOff>
    </xdr:from>
    <xdr:to>
      <xdr:col>10</xdr:col>
      <xdr:colOff>104775</xdr:colOff>
      <xdr:row>32</xdr:row>
      <xdr:rowOff>47626</xdr:rowOff>
    </xdr:to>
    <xdr:sp macro="" textlink="">
      <xdr:nvSpPr>
        <xdr:cNvPr id="5" name="Rounded Rectangle 4"/>
        <xdr:cNvSpPr/>
      </xdr:nvSpPr>
      <xdr:spPr>
        <a:xfrm>
          <a:off x="628651" y="4629150"/>
          <a:ext cx="4362449" cy="1133476"/>
        </a:xfrm>
        <a:prstGeom prst="roundRect">
          <a:avLst/>
        </a:prstGeom>
        <a:solidFill>
          <a:schemeClr val="accent1">
            <a:alpha val="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666751</xdr:colOff>
      <xdr:row>4</xdr:row>
      <xdr:rowOff>57150</xdr:rowOff>
    </xdr:from>
    <xdr:to>
      <xdr:col>10</xdr:col>
      <xdr:colOff>200025</xdr:colOff>
      <xdr:row>11</xdr:row>
      <xdr:rowOff>133350</xdr:rowOff>
    </xdr:to>
    <xdr:sp macro="" textlink="">
      <xdr:nvSpPr>
        <xdr:cNvPr id="7" name="Rounded Rectangle 6"/>
        <xdr:cNvSpPr/>
      </xdr:nvSpPr>
      <xdr:spPr>
        <a:xfrm>
          <a:off x="34470976" y="15830550"/>
          <a:ext cx="1343024" cy="1209675"/>
        </a:xfrm>
        <a:prstGeom prst="roundRect">
          <a:avLst/>
        </a:prstGeom>
        <a:solidFill>
          <a:schemeClr val="accent1">
            <a:alpha val="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24848</xdr:colOff>
      <xdr:row>41</xdr:row>
      <xdr:rowOff>99392</xdr:rowOff>
    </xdr:from>
    <xdr:to>
      <xdr:col>10</xdr:col>
      <xdr:colOff>132522</xdr:colOff>
      <xdr:row>46</xdr:row>
      <xdr:rowOff>107674</xdr:rowOff>
    </xdr:to>
    <xdr:sp macro="" textlink="">
      <xdr:nvSpPr>
        <xdr:cNvPr id="8" name="Rounded Rectangle 7"/>
        <xdr:cNvSpPr/>
      </xdr:nvSpPr>
      <xdr:spPr>
        <a:xfrm>
          <a:off x="31381148" y="21673517"/>
          <a:ext cx="4384399" cy="1208432"/>
        </a:xfrm>
        <a:prstGeom prst="roundRect">
          <a:avLst/>
        </a:prstGeom>
        <a:solidFill>
          <a:schemeClr val="accent1">
            <a:alpha val="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44</xdr:row>
      <xdr:rowOff>19050</xdr:rowOff>
    </xdr:from>
    <xdr:to>
      <xdr:col>12</xdr:col>
      <xdr:colOff>9525</xdr:colOff>
      <xdr:row>44</xdr:row>
      <xdr:rowOff>19051</xdr:rowOff>
    </xdr:to>
    <xdr:cxnSp macro="">
      <xdr:nvCxnSpPr>
        <xdr:cNvPr id="9" name="Straight Arrow Connector 8"/>
        <xdr:cNvCxnSpPr/>
      </xdr:nvCxnSpPr>
      <xdr:spPr>
        <a:xfrm flipH="1">
          <a:off x="35814000" y="22269450"/>
          <a:ext cx="180975" cy="1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104775</xdr:colOff>
      <xdr:row>29</xdr:row>
      <xdr:rowOff>28575</xdr:rowOff>
    </xdr:from>
    <xdr:to>
      <xdr:col>12</xdr:col>
      <xdr:colOff>0</xdr:colOff>
      <xdr:row>29</xdr:row>
      <xdr:rowOff>28576</xdr:rowOff>
    </xdr:to>
    <xdr:cxnSp macro="">
      <xdr:nvCxnSpPr>
        <xdr:cNvPr id="15" name="Straight Arrow Connector 14"/>
        <xdr:cNvCxnSpPr/>
      </xdr:nvCxnSpPr>
      <xdr:spPr>
        <a:xfrm flipH="1">
          <a:off x="4991100" y="5210175"/>
          <a:ext cx="247650" cy="1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ark.horowitz@towerswatson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H139"/>
  <sheetViews>
    <sheetView tabSelected="1" topLeftCell="A35" zoomScale="115" zoomScaleNormal="115" workbookViewId="0">
      <selection activeCell="O49" sqref="O49:R55"/>
    </sheetView>
  </sheetViews>
  <sheetFormatPr defaultRowHeight="12.75" x14ac:dyDescent="0.2"/>
  <cols>
    <col min="1" max="1" width="9.7109375" customWidth="1"/>
    <col min="2" max="2" width="4.7109375" customWidth="1"/>
    <col min="3" max="3" width="0.42578125" customWidth="1"/>
    <col min="4" max="4" width="17" customWidth="1"/>
    <col min="5" max="5" width="8.7109375" customWidth="1"/>
    <col min="6" max="6" width="2.7109375" customWidth="1"/>
    <col min="7" max="7" width="14.140625" customWidth="1"/>
    <col min="8" max="8" width="4.7109375" customWidth="1"/>
    <col min="9" max="9" width="10.140625" customWidth="1"/>
    <col min="10" max="10" width="6" customWidth="1"/>
    <col min="11" max="11" width="0.42578125" customWidth="1"/>
    <col min="12" max="12" width="4.7109375" customWidth="1"/>
    <col min="13" max="13" width="0.42578125" customWidth="1"/>
    <col min="14" max="14" width="9.140625" customWidth="1"/>
    <col min="15" max="15" width="8.7109375" customWidth="1"/>
    <col min="16" max="16" width="7.7109375" customWidth="1"/>
    <col min="17" max="17" width="9.140625" customWidth="1"/>
    <col min="18" max="18" width="8.85546875" customWidth="1"/>
    <col min="19" max="22" width="7.7109375" customWidth="1"/>
    <col min="25" max="25" width="8.42578125" customWidth="1"/>
    <col min="26" max="26" width="8.7109375" customWidth="1"/>
    <col min="27" max="27" width="8" customWidth="1"/>
    <col min="28" max="28" width="12.28515625" bestFit="1" customWidth="1"/>
    <col min="29" max="29" width="8.140625" customWidth="1"/>
    <col min="30" max="30" width="8.7109375" customWidth="1"/>
    <col min="31" max="31" width="8.140625" customWidth="1"/>
    <col min="32" max="32" width="17" bestFit="1" customWidth="1"/>
    <col min="33" max="33" width="12.28515625" bestFit="1" customWidth="1"/>
    <col min="34" max="34" width="9.7109375" bestFit="1" customWidth="1"/>
    <col min="35" max="35" width="13.5703125" bestFit="1" customWidth="1"/>
    <col min="36" max="36" width="11.42578125" bestFit="1" customWidth="1"/>
    <col min="50" max="50" width="1" customWidth="1"/>
    <col min="51" max="51" width="0.85546875" customWidth="1"/>
    <col min="52" max="52" width="18.7109375" customWidth="1"/>
    <col min="53" max="57" width="8.7109375" customWidth="1"/>
    <col min="58" max="58" width="2.7109375" customWidth="1"/>
    <col min="59" max="59" width="2.5703125" customWidth="1"/>
    <col min="60" max="60" width="6.5703125" customWidth="1"/>
    <col min="61" max="61" width="0.85546875" customWidth="1"/>
    <col min="62" max="65" width="7.7109375" customWidth="1"/>
  </cols>
  <sheetData>
    <row r="1" spans="1:56" ht="12.75" customHeight="1" x14ac:dyDescent="0.2">
      <c r="A1" s="65" t="s">
        <v>97</v>
      </c>
    </row>
    <row r="2" spans="1:56" ht="12.75" customHeight="1" x14ac:dyDescent="0.2">
      <c r="A2" s="65" t="s">
        <v>98</v>
      </c>
    </row>
    <row r="3" spans="1:56" ht="12.75" customHeight="1" x14ac:dyDescent="0.2">
      <c r="A3" s="158" t="s">
        <v>99</v>
      </c>
    </row>
    <row r="4" spans="1:56" ht="12.75" customHeight="1" x14ac:dyDescent="0.2">
      <c r="A4" s="157">
        <v>42199</v>
      </c>
    </row>
    <row r="5" spans="1:56" x14ac:dyDescent="0.2">
      <c r="K5" s="3"/>
      <c r="L5" s="3"/>
      <c r="M5" s="3"/>
    </row>
    <row r="6" spans="1:56" ht="13.5" thickBot="1" x14ac:dyDescent="0.25">
      <c r="B6">
        <f>ROW()</f>
        <v>6</v>
      </c>
      <c r="D6" s="53" t="str">
        <f t="shared" ref="D6:J6" si="0">LEFT(ADDRESS(ROW(),COLUMN(),4),1)</f>
        <v>D</v>
      </c>
      <c r="E6" s="53" t="str">
        <f t="shared" si="0"/>
        <v>E</v>
      </c>
      <c r="F6" s="53" t="str">
        <f t="shared" si="0"/>
        <v>F</v>
      </c>
      <c r="G6" s="53" t="str">
        <f t="shared" si="0"/>
        <v>G</v>
      </c>
      <c r="H6" s="53" t="str">
        <f t="shared" si="0"/>
        <v>H</v>
      </c>
      <c r="I6" s="53" t="str">
        <f t="shared" si="0"/>
        <v>I</v>
      </c>
      <c r="J6" s="53" t="str">
        <f t="shared" si="0"/>
        <v>J</v>
      </c>
      <c r="K6" s="7"/>
      <c r="L6">
        <f>ROW()</f>
        <v>6</v>
      </c>
      <c r="M6" s="7"/>
      <c r="N6" s="53" t="str">
        <f t="shared" ref="N6:V6" si="1">LEFT(ADDRESS(ROW(),COLUMN(),4),1)</f>
        <v>N</v>
      </c>
      <c r="O6" s="53" t="str">
        <f t="shared" si="1"/>
        <v>O</v>
      </c>
      <c r="P6" s="53" t="str">
        <f t="shared" si="1"/>
        <v>P</v>
      </c>
      <c r="Q6" s="53" t="str">
        <f t="shared" si="1"/>
        <v>Q</v>
      </c>
      <c r="R6" s="53" t="str">
        <f t="shared" si="1"/>
        <v>R</v>
      </c>
      <c r="S6" s="53" t="str">
        <f t="shared" si="1"/>
        <v>S</v>
      </c>
      <c r="T6" s="53" t="str">
        <f t="shared" si="1"/>
        <v>T</v>
      </c>
      <c r="U6" s="53" t="str">
        <f t="shared" si="1"/>
        <v>U</v>
      </c>
      <c r="V6" s="53" t="str">
        <f t="shared" si="1"/>
        <v>V</v>
      </c>
      <c r="AZ6" s="53"/>
      <c r="BA6" s="53"/>
      <c r="BB6" s="53"/>
      <c r="BC6" s="53"/>
      <c r="BD6" s="53"/>
    </row>
    <row r="7" spans="1:56" ht="13.5" thickBot="1" x14ac:dyDescent="0.25">
      <c r="B7">
        <f>ROW()</f>
        <v>7</v>
      </c>
      <c r="D7" s="20" t="s">
        <v>13</v>
      </c>
      <c r="E7" s="8"/>
      <c r="F7" s="8"/>
      <c r="G7" s="8"/>
      <c r="H7" s="12" t="s">
        <v>28</v>
      </c>
      <c r="I7" s="8"/>
      <c r="J7" s="21" t="s">
        <v>28</v>
      </c>
      <c r="L7">
        <f>ROW()</f>
        <v>7</v>
      </c>
      <c r="N7" s="34" t="s">
        <v>22</v>
      </c>
      <c r="O7" s="174" t="s">
        <v>25</v>
      </c>
      <c r="P7" s="174"/>
      <c r="Q7" s="174"/>
      <c r="R7" s="174"/>
      <c r="S7" s="174"/>
      <c r="T7" s="174"/>
      <c r="U7" s="174"/>
      <c r="V7" s="35" t="s">
        <v>23</v>
      </c>
    </row>
    <row r="8" spans="1:56" x14ac:dyDescent="0.2">
      <c r="B8">
        <f>ROW()</f>
        <v>8</v>
      </c>
      <c r="D8" s="22" t="s">
        <v>2</v>
      </c>
      <c r="E8" s="44">
        <v>100000</v>
      </c>
      <c r="F8" s="13"/>
      <c r="G8" s="9" t="s">
        <v>9</v>
      </c>
      <c r="H8" s="11"/>
      <c r="I8" s="45">
        <v>17500</v>
      </c>
      <c r="J8" s="23" t="s">
        <v>24</v>
      </c>
      <c r="L8">
        <f>ROW()</f>
        <v>8</v>
      </c>
      <c r="N8" s="31" t="s">
        <v>24</v>
      </c>
      <c r="O8" s="32" t="s">
        <v>15</v>
      </c>
      <c r="P8" s="32" t="s">
        <v>16</v>
      </c>
      <c r="Q8" s="32" t="s">
        <v>17</v>
      </c>
      <c r="R8" s="32" t="s">
        <v>18</v>
      </c>
      <c r="S8" s="32" t="s">
        <v>36</v>
      </c>
      <c r="T8" s="32" t="s">
        <v>19</v>
      </c>
      <c r="U8" s="32" t="s">
        <v>20</v>
      </c>
      <c r="V8" s="33" t="s">
        <v>21</v>
      </c>
    </row>
    <row r="9" spans="1:56" x14ac:dyDescent="0.2">
      <c r="B9">
        <f>ROW()</f>
        <v>9</v>
      </c>
      <c r="D9" s="22" t="s">
        <v>10</v>
      </c>
      <c r="E9" s="14">
        <v>0.1</v>
      </c>
      <c r="F9" s="14"/>
      <c r="G9" s="15" t="s">
        <v>34</v>
      </c>
      <c r="H9" s="15"/>
      <c r="I9" s="14">
        <v>1</v>
      </c>
      <c r="J9" s="24"/>
      <c r="L9">
        <f>ROW()</f>
        <v>9</v>
      </c>
      <c r="N9" s="31"/>
      <c r="O9" s="32">
        <f>G$13</f>
        <v>10000</v>
      </c>
      <c r="P9" s="32">
        <f>I$13</f>
        <v>90000</v>
      </c>
      <c r="Q9" s="32">
        <f>G$14</f>
        <v>10000</v>
      </c>
      <c r="R9" s="32">
        <f>I$14</f>
        <v>7500</v>
      </c>
      <c r="S9" s="32">
        <f>G$14+I$14</f>
        <v>17500</v>
      </c>
      <c r="T9" s="32">
        <f>I$19</f>
        <v>0.28285714285714281</v>
      </c>
      <c r="U9" s="32">
        <f>I$20</f>
        <v>4949.9999999999991</v>
      </c>
      <c r="V9" s="33">
        <f>I$21</f>
        <v>1237.4999999999998</v>
      </c>
    </row>
    <row r="10" spans="1:56" x14ac:dyDescent="0.2">
      <c r="B10">
        <f>ROW()</f>
        <v>10</v>
      </c>
      <c r="D10" s="22" t="s">
        <v>26</v>
      </c>
      <c r="E10" s="14">
        <v>0.25</v>
      </c>
      <c r="F10" s="14"/>
      <c r="G10" s="15" t="s">
        <v>35</v>
      </c>
      <c r="H10" s="15"/>
      <c r="I10" s="44">
        <f>E8*I9</f>
        <v>100000</v>
      </c>
      <c r="J10" s="24"/>
      <c r="K10" s="7"/>
      <c r="L10">
        <f>ROW()</f>
        <v>10</v>
      </c>
      <c r="N10" s="49">
        <v>17500</v>
      </c>
      <c r="O10" s="50">
        <f t="dataTable" ref="O10:V14" dt2D="0" dtr="0" r1="I8"/>
        <v>10000</v>
      </c>
      <c r="P10" s="50">
        <v>90000</v>
      </c>
      <c r="Q10" s="50">
        <v>10000</v>
      </c>
      <c r="R10" s="50">
        <v>7500</v>
      </c>
      <c r="S10" s="50">
        <v>17500</v>
      </c>
      <c r="T10" s="37">
        <v>0.28285714285714281</v>
      </c>
      <c r="U10" s="50">
        <v>4949.9999999999991</v>
      </c>
      <c r="V10" s="51">
        <v>1237.4999999999998</v>
      </c>
    </row>
    <row r="11" spans="1:56" ht="13.5" thickBot="1" x14ac:dyDescent="0.25">
      <c r="B11">
        <f>ROW()</f>
        <v>11</v>
      </c>
      <c r="D11" s="22"/>
      <c r="E11" s="14"/>
      <c r="F11" s="14"/>
      <c r="G11" s="15"/>
      <c r="H11" s="15"/>
      <c r="I11" s="13"/>
      <c r="J11" s="24"/>
      <c r="K11" s="7"/>
      <c r="L11">
        <f>ROW()</f>
        <v>11</v>
      </c>
      <c r="M11" s="7"/>
      <c r="N11" s="40">
        <v>5000</v>
      </c>
      <c r="O11" s="36">
        <v>10000</v>
      </c>
      <c r="P11" s="36">
        <v>90000</v>
      </c>
      <c r="Q11" s="36">
        <v>5000</v>
      </c>
      <c r="R11" s="36">
        <v>0</v>
      </c>
      <c r="S11" s="36">
        <v>5000</v>
      </c>
      <c r="T11" s="37">
        <v>0.36</v>
      </c>
      <c r="U11" s="36">
        <v>1800</v>
      </c>
      <c r="V11" s="42">
        <v>450</v>
      </c>
    </row>
    <row r="12" spans="1:56" ht="13.5" thickBot="1" x14ac:dyDescent="0.25">
      <c r="B12">
        <f>ROW()</f>
        <v>12</v>
      </c>
      <c r="D12" s="25" t="s">
        <v>14</v>
      </c>
      <c r="E12" s="5"/>
      <c r="F12" s="5"/>
      <c r="G12" s="52" t="str">
        <f>"up to "&amp;TEXT(E9,"0%")</f>
        <v>up to 10%</v>
      </c>
      <c r="H12" s="6"/>
      <c r="I12" s="52" t="str">
        <f>"over "&amp;TEXT(E9,"0%")</f>
        <v>over 10%</v>
      </c>
      <c r="J12" s="26"/>
      <c r="L12">
        <f>ROW()</f>
        <v>12</v>
      </c>
      <c r="M12" s="7"/>
      <c r="N12" s="40">
        <v>100000</v>
      </c>
      <c r="O12" s="36">
        <v>10000</v>
      </c>
      <c r="P12" s="36">
        <v>90000</v>
      </c>
      <c r="Q12" s="36">
        <v>10000</v>
      </c>
      <c r="R12" s="36">
        <v>90000</v>
      </c>
      <c r="S12" s="36">
        <v>100000</v>
      </c>
      <c r="T12" s="37">
        <v>0.19800000000000001</v>
      </c>
      <c r="U12" s="36">
        <v>19800</v>
      </c>
      <c r="V12" s="42">
        <v>4950</v>
      </c>
    </row>
    <row r="13" spans="1:56" x14ac:dyDescent="0.2">
      <c r="B13">
        <f>ROW()</f>
        <v>13</v>
      </c>
      <c r="D13" s="22" t="s">
        <v>11</v>
      </c>
      <c r="E13" s="9"/>
      <c r="F13" s="9"/>
      <c r="G13" s="46">
        <f>MIN(E9,I9)*E8</f>
        <v>10000</v>
      </c>
      <c r="H13" s="10" t="s">
        <v>15</v>
      </c>
      <c r="I13" s="46">
        <f>MAX(0,I9-E9)*E8</f>
        <v>90000</v>
      </c>
      <c r="J13" s="27" t="s">
        <v>16</v>
      </c>
      <c r="L13">
        <f>ROW()</f>
        <v>13</v>
      </c>
      <c r="N13" s="40">
        <v>1000000</v>
      </c>
      <c r="O13" s="36">
        <v>10000</v>
      </c>
      <c r="P13" s="36">
        <v>90000</v>
      </c>
      <c r="Q13" s="36">
        <v>10000</v>
      </c>
      <c r="R13" s="36">
        <v>90000</v>
      </c>
      <c r="S13" s="36">
        <v>100000</v>
      </c>
      <c r="T13" s="37">
        <v>0.19800000000000001</v>
      </c>
      <c r="U13" s="36">
        <v>19800</v>
      </c>
      <c r="V13" s="42">
        <v>4950</v>
      </c>
    </row>
    <row r="14" spans="1:56" ht="13.5" thickBot="1" x14ac:dyDescent="0.25">
      <c r="B14">
        <f>ROW()</f>
        <v>14</v>
      </c>
      <c r="D14" s="22" t="s">
        <v>12</v>
      </c>
      <c r="E14" s="9"/>
      <c r="F14" s="9"/>
      <c r="G14" s="46">
        <f>MIN(G13,I8)</f>
        <v>10000</v>
      </c>
      <c r="H14" s="10" t="s">
        <v>17</v>
      </c>
      <c r="I14" s="46">
        <f>MIN(I13,I8-G14)</f>
        <v>7500</v>
      </c>
      <c r="J14" s="27" t="s">
        <v>18</v>
      </c>
      <c r="L14">
        <f>ROW()</f>
        <v>14</v>
      </c>
      <c r="N14" s="41">
        <v>9999</v>
      </c>
      <c r="O14" s="38">
        <v>10000</v>
      </c>
      <c r="P14" s="38">
        <v>90000</v>
      </c>
      <c r="Q14" s="38">
        <v>9999</v>
      </c>
      <c r="R14" s="38">
        <v>0</v>
      </c>
      <c r="S14" s="38">
        <v>9999</v>
      </c>
      <c r="T14" s="39">
        <v>0.36</v>
      </c>
      <c r="U14" s="38">
        <v>3599.64</v>
      </c>
      <c r="V14" s="43">
        <v>899.91</v>
      </c>
    </row>
    <row r="15" spans="1:56" x14ac:dyDescent="0.2">
      <c r="B15">
        <f>ROW()</f>
        <v>15</v>
      </c>
      <c r="D15" s="22" t="s">
        <v>29</v>
      </c>
      <c r="E15" s="9"/>
      <c r="F15" s="9"/>
      <c r="G15" s="16"/>
      <c r="H15" s="17">
        <f>MATCH(E10,matchTable,1)</f>
        <v>3</v>
      </c>
      <c r="I15" s="47">
        <f>G14+I14</f>
        <v>17500</v>
      </c>
      <c r="J15" s="24"/>
    </row>
    <row r="16" spans="1:56" ht="13.5" thickBot="1" x14ac:dyDescent="0.25">
      <c r="B16">
        <f>ROW()</f>
        <v>16</v>
      </c>
      <c r="D16" s="22" t="s">
        <v>30</v>
      </c>
      <c r="E16" s="9"/>
      <c r="F16" s="9"/>
      <c r="G16" s="14">
        <f>INDEX(enrollUpTo,H15)</f>
        <v>0.36</v>
      </c>
      <c r="H16" s="14"/>
      <c r="I16" s="14">
        <f>INDEX(enrollOver8,H15)</f>
        <v>0.18</v>
      </c>
      <c r="J16" s="24"/>
      <c r="L16">
        <f>ROW()</f>
        <v>16</v>
      </c>
      <c r="M16" s="7"/>
      <c r="N16" s="53" t="str">
        <f t="shared" ref="N16:V16" si="2">LEFT(ADDRESS(ROW(),COLUMN(),4),1)</f>
        <v>N</v>
      </c>
      <c r="O16" s="53" t="str">
        <f t="shared" si="2"/>
        <v>O</v>
      </c>
      <c r="P16" s="53" t="str">
        <f t="shared" si="2"/>
        <v>P</v>
      </c>
      <c r="Q16" s="53" t="str">
        <f t="shared" si="2"/>
        <v>Q</v>
      </c>
      <c r="R16" s="53" t="str">
        <f t="shared" si="2"/>
        <v>R</v>
      </c>
      <c r="S16" s="53" t="str">
        <f t="shared" si="2"/>
        <v>S</v>
      </c>
      <c r="T16" s="53" t="str">
        <f t="shared" si="2"/>
        <v>T</v>
      </c>
      <c r="U16" s="53" t="str">
        <f t="shared" si="2"/>
        <v>U</v>
      </c>
      <c r="V16" s="53" t="str">
        <f t="shared" si="2"/>
        <v>V</v>
      </c>
    </row>
    <row r="17" spans="2:22" ht="13.5" thickBot="1" x14ac:dyDescent="0.25">
      <c r="B17">
        <f>ROW()</f>
        <v>17</v>
      </c>
      <c r="D17" s="22" t="s">
        <v>27</v>
      </c>
      <c r="E17" s="9"/>
      <c r="F17" s="9"/>
      <c r="G17" s="18">
        <f>G14/$I$15</f>
        <v>0.5714285714285714</v>
      </c>
      <c r="H17" s="18"/>
      <c r="I17" s="18">
        <f>I14/$I$15</f>
        <v>0.42857142857142855</v>
      </c>
      <c r="J17" s="24"/>
      <c r="K17" s="7"/>
      <c r="L17">
        <f>ROW()</f>
        <v>17</v>
      </c>
      <c r="N17" s="34" t="s">
        <v>22</v>
      </c>
      <c r="O17" s="174" t="s">
        <v>25</v>
      </c>
      <c r="P17" s="174"/>
      <c r="Q17" s="174"/>
      <c r="R17" s="174"/>
      <c r="S17" s="174"/>
      <c r="T17" s="174"/>
      <c r="U17" s="174"/>
      <c r="V17" s="35" t="s">
        <v>23</v>
      </c>
    </row>
    <row r="18" spans="2:22" x14ac:dyDescent="0.2">
      <c r="B18">
        <f>ROW()</f>
        <v>18</v>
      </c>
      <c r="D18" s="22" t="s">
        <v>31</v>
      </c>
      <c r="E18" s="9"/>
      <c r="F18" s="9"/>
      <c r="G18" s="18">
        <f>G17*G16</f>
        <v>0.20571428571428568</v>
      </c>
      <c r="H18" s="18"/>
      <c r="I18" s="18">
        <f>I17*I16</f>
        <v>7.7142857142857138E-2</v>
      </c>
      <c r="J18" s="24"/>
      <c r="K18" s="7"/>
      <c r="L18">
        <f>ROW()</f>
        <v>18</v>
      </c>
      <c r="N18" s="31" t="s">
        <v>24</v>
      </c>
      <c r="O18" s="32" t="s">
        <v>15</v>
      </c>
      <c r="P18" s="32" t="s">
        <v>16</v>
      </c>
      <c r="Q18" s="32" t="s">
        <v>17</v>
      </c>
      <c r="R18" s="32" t="s">
        <v>18</v>
      </c>
      <c r="S18" s="32" t="s">
        <v>36</v>
      </c>
      <c r="T18" s="32" t="s">
        <v>19</v>
      </c>
      <c r="U18" s="32" t="s">
        <v>20</v>
      </c>
      <c r="V18" s="33" t="s">
        <v>21</v>
      </c>
    </row>
    <row r="19" spans="2:22" x14ac:dyDescent="0.2">
      <c r="B19">
        <f>ROW()</f>
        <v>19</v>
      </c>
      <c r="D19" s="22" t="s">
        <v>29</v>
      </c>
      <c r="E19" s="9"/>
      <c r="F19" s="9"/>
      <c r="G19" s="18"/>
      <c r="H19" s="18"/>
      <c r="I19" s="19">
        <f>SUM(G18:I18)</f>
        <v>0.28285714285714281</v>
      </c>
      <c r="J19" s="27" t="s">
        <v>19</v>
      </c>
      <c r="K19" s="7"/>
      <c r="L19">
        <f>ROW()</f>
        <v>19</v>
      </c>
      <c r="N19" s="31"/>
      <c r="O19" s="32">
        <f>G$13</f>
        <v>10000</v>
      </c>
      <c r="P19" s="32">
        <f>I$13</f>
        <v>90000</v>
      </c>
      <c r="Q19" s="32">
        <f>G$14</f>
        <v>10000</v>
      </c>
      <c r="R19" s="32">
        <f>I$14</f>
        <v>7500</v>
      </c>
      <c r="S19" s="32">
        <f>G$14+I$14</f>
        <v>17500</v>
      </c>
      <c r="T19" s="32">
        <f>I$19</f>
        <v>0.28285714285714281</v>
      </c>
      <c r="U19" s="32">
        <f>I$20</f>
        <v>4949.9999999999991</v>
      </c>
      <c r="V19" s="33">
        <f>I$21</f>
        <v>1237.4999999999998</v>
      </c>
    </row>
    <row r="20" spans="2:22" ht="13.5" customHeight="1" x14ac:dyDescent="0.2">
      <c r="B20">
        <f>ROW()</f>
        <v>20</v>
      </c>
      <c r="D20" s="22" t="s">
        <v>32</v>
      </c>
      <c r="E20" s="9"/>
      <c r="F20" s="9"/>
      <c r="G20" s="9"/>
      <c r="H20" s="9"/>
      <c r="I20" s="46">
        <f>I19*I15</f>
        <v>4949.9999999999991</v>
      </c>
      <c r="J20" s="27" t="s">
        <v>20</v>
      </c>
      <c r="K20" s="2"/>
      <c r="L20">
        <f>ROW()</f>
        <v>20</v>
      </c>
      <c r="N20" s="54">
        <v>0.02</v>
      </c>
      <c r="O20" s="50">
        <f t="dataTable" ref="O20:V24" dt2D="0" dtr="0" r1="E9" ca="1"/>
        <v>2000</v>
      </c>
      <c r="P20" s="50">
        <v>98000</v>
      </c>
      <c r="Q20" s="50">
        <v>2000</v>
      </c>
      <c r="R20" s="50">
        <v>15500</v>
      </c>
      <c r="S20" s="50">
        <v>17500</v>
      </c>
      <c r="T20" s="37">
        <v>0.20057142857142857</v>
      </c>
      <c r="U20" s="50">
        <v>3510</v>
      </c>
      <c r="V20" s="51">
        <v>877.5</v>
      </c>
    </row>
    <row r="21" spans="2:22" ht="13.5" customHeight="1" thickBot="1" x14ac:dyDescent="0.25">
      <c r="B21">
        <f>ROW()</f>
        <v>21</v>
      </c>
      <c r="D21" s="28" t="s">
        <v>33</v>
      </c>
      <c r="E21" s="29"/>
      <c r="F21" s="29"/>
      <c r="G21" s="29"/>
      <c r="H21" s="29"/>
      <c r="I21" s="48">
        <f>I20*E10</f>
        <v>1237.4999999999998</v>
      </c>
      <c r="J21" s="30" t="s">
        <v>21</v>
      </c>
      <c r="L21">
        <f>ROW()</f>
        <v>21</v>
      </c>
      <c r="M21" s="7"/>
      <c r="N21" s="54">
        <v>0.05</v>
      </c>
      <c r="O21" s="36">
        <v>5000</v>
      </c>
      <c r="P21" s="36">
        <v>95000</v>
      </c>
      <c r="Q21" s="36">
        <v>5000</v>
      </c>
      <c r="R21" s="36">
        <v>12500</v>
      </c>
      <c r="S21" s="36">
        <v>17500</v>
      </c>
      <c r="T21" s="37">
        <v>0.2314285714285714</v>
      </c>
      <c r="U21" s="36">
        <v>4049.9999999999995</v>
      </c>
      <c r="V21" s="42">
        <v>1012.4999999999999</v>
      </c>
    </row>
    <row r="22" spans="2:22" x14ac:dyDescent="0.2">
      <c r="E22" s="3"/>
      <c r="F22" s="3"/>
      <c r="G22" s="3"/>
      <c r="H22" s="3"/>
      <c r="I22" s="4"/>
      <c r="L22">
        <f>ROW()</f>
        <v>22</v>
      </c>
      <c r="M22" s="7"/>
      <c r="N22" s="54">
        <v>0.08</v>
      </c>
      <c r="O22" s="36">
        <v>8000</v>
      </c>
      <c r="P22" s="36">
        <v>92000</v>
      </c>
      <c r="Q22" s="36">
        <v>8000</v>
      </c>
      <c r="R22" s="36">
        <v>9500</v>
      </c>
      <c r="S22" s="36">
        <v>17500</v>
      </c>
      <c r="T22" s="37">
        <v>0.26228571428571423</v>
      </c>
      <c r="U22" s="36">
        <v>4589.9999999999991</v>
      </c>
      <c r="V22" s="42">
        <v>1147.4999999999998</v>
      </c>
    </row>
    <row r="23" spans="2:22" x14ac:dyDescent="0.2">
      <c r="E23" s="3">
        <f ca="1">INDIRECT(G23)</f>
        <v>1237.4999999999998</v>
      </c>
      <c r="F23" s="3"/>
      <c r="G23" s="4" t="str">
        <f>ADDRESS(ROW(I21),COLUMN(I21))</f>
        <v>$I$21</v>
      </c>
      <c r="H23" s="4"/>
      <c r="I23" s="4"/>
      <c r="L23">
        <f>ROW()</f>
        <v>23</v>
      </c>
      <c r="N23" s="54">
        <v>0.1</v>
      </c>
      <c r="O23" s="36">
        <v>10000</v>
      </c>
      <c r="P23" s="36">
        <v>90000</v>
      </c>
      <c r="Q23" s="36">
        <v>10000</v>
      </c>
      <c r="R23" s="36">
        <v>7500</v>
      </c>
      <c r="S23" s="36">
        <v>17500</v>
      </c>
      <c r="T23" s="37">
        <v>0.28285714285714281</v>
      </c>
      <c r="U23" s="36">
        <v>4949.9999999999991</v>
      </c>
      <c r="V23" s="42">
        <v>1237.4999999999998</v>
      </c>
    </row>
    <row r="24" spans="2:22" ht="13.5" thickBot="1" x14ac:dyDescent="0.25">
      <c r="F24" s="3"/>
      <c r="G24">
        <f>ROW(calcs)-1</f>
        <v>7</v>
      </c>
      <c r="H24">
        <f>COLUMN(calcs)-1</f>
        <v>3</v>
      </c>
      <c r="I24" s="4"/>
      <c r="L24">
        <f>ROW()</f>
        <v>24</v>
      </c>
      <c r="N24" s="55">
        <v>0.12</v>
      </c>
      <c r="O24" s="38">
        <v>12000</v>
      </c>
      <c r="P24" s="38">
        <v>88000</v>
      </c>
      <c r="Q24" s="38">
        <v>12000</v>
      </c>
      <c r="R24" s="38">
        <v>5500</v>
      </c>
      <c r="S24" s="38">
        <v>17500</v>
      </c>
      <c r="T24" s="39">
        <v>0.30342857142857144</v>
      </c>
      <c r="U24" s="38">
        <v>5310</v>
      </c>
      <c r="V24" s="43">
        <v>1327.5</v>
      </c>
    </row>
    <row r="25" spans="2:22" x14ac:dyDescent="0.2">
      <c r="B25" s="1"/>
      <c r="C25" s="1"/>
      <c r="E25" s="3">
        <f>INDEX(calcs,G25-$G$24,H25-$H$24)</f>
        <v>1237.4999999999998</v>
      </c>
      <c r="F25" s="3"/>
      <c r="G25" s="78">
        <f>ROW(ercont)</f>
        <v>21</v>
      </c>
      <c r="H25" s="78">
        <f>COLUMN(ercont)</f>
        <v>9</v>
      </c>
      <c r="I25" s="4"/>
    </row>
    <row r="26" spans="2:22" x14ac:dyDescent="0.2">
      <c r="E26" s="79">
        <f>INDEX(calcs,G26-$G$24,H26-$H$24)</f>
        <v>0.5714285714285714</v>
      </c>
      <c r="G26">
        <f>ROW(G17)</f>
        <v>17</v>
      </c>
      <c r="H26">
        <f>COLUMN(G17)</f>
        <v>7</v>
      </c>
    </row>
    <row r="27" spans="2:22" ht="13.5" thickBot="1" x14ac:dyDescent="0.25">
      <c r="P27" s="53"/>
      <c r="Q27" s="53"/>
      <c r="R27" s="53"/>
      <c r="S27" s="53"/>
      <c r="T27" s="53"/>
      <c r="U27" s="53"/>
    </row>
    <row r="28" spans="2:22" ht="13.5" thickBot="1" x14ac:dyDescent="0.25">
      <c r="E28">
        <f ca="1">ROW(INDIRECT(G28))</f>
        <v>21</v>
      </c>
      <c r="G28" t="str">
        <f ca="1">CELL("address",ercont)</f>
        <v>$I$21</v>
      </c>
      <c r="N28" s="15"/>
      <c r="O28" s="101"/>
      <c r="P28" s="170" t="s">
        <v>69</v>
      </c>
      <c r="Q28" s="171"/>
      <c r="R28" s="171"/>
      <c r="S28" s="171"/>
      <c r="T28" s="171"/>
      <c r="U28" s="166"/>
    </row>
    <row r="29" spans="2:22" ht="13.5" thickBot="1" x14ac:dyDescent="0.25">
      <c r="E29">
        <f ca="1">ROW(INDIRECT(G29))</f>
        <v>20</v>
      </c>
      <c r="G29" t="str">
        <f ca="1">CELL("address",I20)</f>
        <v>$I$20</v>
      </c>
      <c r="J29">
        <f>$G$13</f>
        <v>10000</v>
      </c>
      <c r="O29" s="102"/>
      <c r="P29" s="80">
        <v>0.04</v>
      </c>
      <c r="Q29" s="80">
        <v>0.06</v>
      </c>
      <c r="R29" s="80">
        <v>0.1</v>
      </c>
      <c r="S29" s="80">
        <v>0.25</v>
      </c>
      <c r="T29" s="80">
        <v>0.5</v>
      </c>
      <c r="U29" s="80">
        <v>1</v>
      </c>
    </row>
    <row r="30" spans="2:22" x14ac:dyDescent="0.2">
      <c r="J30">
        <f>$I$21</f>
        <v>1237.4999999999998</v>
      </c>
      <c r="N30" s="159" t="s">
        <v>71</v>
      </c>
      <c r="O30" s="81">
        <f>$G$13</f>
        <v>10000</v>
      </c>
      <c r="P30" s="82">
        <f t="dataTable" ref="P30:U34" dt2D="0" dtr="1" r1="I9" ca="1"/>
        <v>4000</v>
      </c>
      <c r="Q30" s="82">
        <v>6000</v>
      </c>
      <c r="R30" s="82">
        <v>10000</v>
      </c>
      <c r="S30" s="82">
        <v>10000</v>
      </c>
      <c r="T30" s="82">
        <v>10000</v>
      </c>
      <c r="U30" s="82">
        <v>10000</v>
      </c>
    </row>
    <row r="31" spans="2:22" x14ac:dyDescent="0.2">
      <c r="J31">
        <f>$G$14</f>
        <v>10000</v>
      </c>
      <c r="N31" s="160"/>
      <c r="O31" s="81">
        <f>$I$21</f>
        <v>1237.4999999999998</v>
      </c>
      <c r="P31" s="82">
        <v>360</v>
      </c>
      <c r="Q31" s="82">
        <v>540</v>
      </c>
      <c r="R31" s="82">
        <v>900</v>
      </c>
      <c r="S31" s="82">
        <v>1237.4999999999998</v>
      </c>
      <c r="T31" s="82">
        <v>1237.4999999999998</v>
      </c>
      <c r="U31" s="82">
        <v>1237.4999999999998</v>
      </c>
    </row>
    <row r="32" spans="2:22" x14ac:dyDescent="0.2">
      <c r="J32">
        <f>$I$14</f>
        <v>7500</v>
      </c>
      <c r="N32" s="160"/>
      <c r="O32" s="81">
        <f>$G$14</f>
        <v>10000</v>
      </c>
      <c r="P32" s="82">
        <v>4000</v>
      </c>
      <c r="Q32" s="82">
        <v>6000</v>
      </c>
      <c r="R32" s="82">
        <v>10000</v>
      </c>
      <c r="S32" s="82">
        <v>10000</v>
      </c>
      <c r="T32" s="82">
        <v>10000</v>
      </c>
      <c r="U32" s="82">
        <v>10000</v>
      </c>
    </row>
    <row r="33" spans="11:32" ht="2.1" customHeight="1" x14ac:dyDescent="0.2">
      <c r="N33" s="160"/>
      <c r="O33" s="81">
        <f>$I$14</f>
        <v>7500</v>
      </c>
      <c r="P33" s="82">
        <v>0</v>
      </c>
      <c r="Q33" s="82">
        <v>0</v>
      </c>
      <c r="R33" s="82">
        <v>0</v>
      </c>
      <c r="S33" s="82">
        <v>7500</v>
      </c>
      <c r="T33" s="82">
        <v>7500</v>
      </c>
      <c r="U33" s="82">
        <v>7500</v>
      </c>
      <c r="Y33" t="s">
        <v>0</v>
      </c>
      <c r="AB33" t="s">
        <v>6</v>
      </c>
      <c r="AC33" t="s">
        <v>7</v>
      </c>
      <c r="AD33" t="s">
        <v>8</v>
      </c>
    </row>
    <row r="34" spans="11:32" ht="13.5" thickBot="1" x14ac:dyDescent="0.25">
      <c r="N34" s="161"/>
      <c r="O34" s="83">
        <f>I19</f>
        <v>0.28285714285714281</v>
      </c>
      <c r="P34" s="82">
        <v>0.36</v>
      </c>
      <c r="Q34" s="82">
        <v>0.36</v>
      </c>
      <c r="R34" s="82">
        <v>0.36</v>
      </c>
      <c r="S34" s="82">
        <v>0.28285714285714281</v>
      </c>
      <c r="T34" s="82">
        <v>0.28285714285714281</v>
      </c>
      <c r="U34" s="82">
        <v>0.28285714285714281</v>
      </c>
      <c r="AF34" s="142"/>
    </row>
    <row r="35" spans="11:32" ht="13.5" thickBot="1" x14ac:dyDescent="0.25">
      <c r="Z35" s="150" t="s">
        <v>95</v>
      </c>
      <c r="AA35" s="151"/>
      <c r="AB35" s="152">
        <f>E8</f>
        <v>100000</v>
      </c>
      <c r="AC35" s="153">
        <v>1</v>
      </c>
      <c r="AD35" s="154"/>
      <c r="AE35" s="153">
        <v>0.08</v>
      </c>
      <c r="AF35" s="142"/>
    </row>
    <row r="36" spans="11:32" ht="13.5" thickBot="1" x14ac:dyDescent="0.25">
      <c r="P36" s="72"/>
      <c r="Y36" s="143"/>
      <c r="Z36" s="149"/>
      <c r="AA36" s="144"/>
      <c r="AB36" s="144"/>
      <c r="AC36" s="146" t="s">
        <v>1</v>
      </c>
      <c r="AD36" s="146" t="str">
        <f>"Max to "&amp;TEXT(keyPct,"0%")</f>
        <v>Max to 8%</v>
      </c>
      <c r="AE36" s="146" t="str">
        <f>"Max over "&amp;TEXT(keyPct,"0%")</f>
        <v>Max over 8%</v>
      </c>
      <c r="AF36" s="142"/>
    </row>
    <row r="37" spans="11:32" x14ac:dyDescent="0.2">
      <c r="M37" s="7"/>
      <c r="Y37" s="126"/>
      <c r="Z37" s="127"/>
      <c r="AA37" s="142"/>
      <c r="AB37" s="144">
        <v>0</v>
      </c>
      <c r="AC37" s="155">
        <v>0.6</v>
      </c>
      <c r="AD37" s="141">
        <v>999999</v>
      </c>
      <c r="AE37" s="141">
        <v>999999</v>
      </c>
      <c r="AF37" s="142"/>
    </row>
    <row r="38" spans="11:32" ht="12.75" customHeight="1" x14ac:dyDescent="0.2">
      <c r="K38" s="106"/>
      <c r="M38" s="106"/>
      <c r="N38" s="106"/>
      <c r="O38" s="106"/>
      <c r="P38" s="106"/>
      <c r="Q38" s="106"/>
      <c r="R38" s="108"/>
      <c r="S38" s="108"/>
      <c r="T38" s="108"/>
      <c r="U38" s="106"/>
      <c r="Y38" s="126"/>
      <c r="Z38" s="126"/>
      <c r="AA38" s="142"/>
      <c r="AB38" s="142"/>
      <c r="AC38" s="140">
        <v>40000</v>
      </c>
      <c r="AD38" s="155">
        <v>0.8</v>
      </c>
      <c r="AE38" s="141">
        <v>999999</v>
      </c>
      <c r="AF38" s="142"/>
    </row>
    <row r="39" spans="11:32" ht="12.75" customHeight="1" thickBot="1" x14ac:dyDescent="0.25">
      <c r="K39" s="106"/>
      <c r="L39">
        <f>ROW()</f>
        <v>39</v>
      </c>
      <c r="M39" s="109">
        <v>0.06</v>
      </c>
      <c r="N39" s="53" t="str">
        <f t="shared" ref="N39:U39" si="3">LEFT(ADDRESS(ROW(),COLUMN(),4),1)</f>
        <v>N</v>
      </c>
      <c r="O39" s="53" t="str">
        <f t="shared" si="3"/>
        <v>O</v>
      </c>
      <c r="P39" s="53" t="str">
        <f t="shared" si="3"/>
        <v>P</v>
      </c>
      <c r="Q39" s="53" t="str">
        <f t="shared" si="3"/>
        <v>Q</v>
      </c>
      <c r="R39" s="53" t="str">
        <f t="shared" si="3"/>
        <v>R</v>
      </c>
      <c r="S39" s="53" t="str">
        <f t="shared" si="3"/>
        <v>S</v>
      </c>
      <c r="T39" s="53" t="str">
        <f t="shared" si="3"/>
        <v>T</v>
      </c>
      <c r="U39" s="53" t="str">
        <f t="shared" si="3"/>
        <v>U</v>
      </c>
      <c r="Y39" s="126"/>
      <c r="Z39" s="126"/>
      <c r="AA39" s="142"/>
      <c r="AB39" s="142"/>
      <c r="AC39" s="140">
        <v>60000</v>
      </c>
      <c r="AD39" s="155">
        <v>1</v>
      </c>
      <c r="AE39" s="141">
        <v>999999</v>
      </c>
      <c r="AF39" s="142"/>
    </row>
    <row r="40" spans="11:32" ht="13.5" thickBot="1" x14ac:dyDescent="0.25">
      <c r="K40" s="106"/>
      <c r="L40" s="106">
        <f>ROW()</f>
        <v>40</v>
      </c>
      <c r="M40" s="106"/>
      <c r="N40" s="106"/>
      <c r="O40" s="107"/>
      <c r="P40" s="170" t="s">
        <v>94</v>
      </c>
      <c r="Q40" s="171"/>
      <c r="R40" s="171"/>
      <c r="S40" s="171"/>
      <c r="T40" s="171"/>
      <c r="U40" s="166"/>
      <c r="Y40" s="126"/>
      <c r="Z40" s="126"/>
      <c r="AA40" s="142"/>
      <c r="AB40" s="142"/>
      <c r="AC40" s="140">
        <v>90000</v>
      </c>
      <c r="AD40" s="155">
        <v>1.2</v>
      </c>
      <c r="AE40" s="142">
        <v>0.9</v>
      </c>
      <c r="AF40" s="142"/>
    </row>
    <row r="41" spans="11:32" ht="13.5" thickBot="1" x14ac:dyDescent="0.25">
      <c r="L41">
        <f>ROW()</f>
        <v>41</v>
      </c>
      <c r="N41" s="106"/>
      <c r="O41" s="56">
        <f>ercont</f>
        <v>1237.4999999999998</v>
      </c>
      <c r="P41" s="110">
        <v>0.02</v>
      </c>
      <c r="Q41" s="110">
        <v>0.05</v>
      </c>
      <c r="R41" s="110">
        <v>0.08</v>
      </c>
      <c r="S41" s="110">
        <v>0.1</v>
      </c>
      <c r="T41" s="110">
        <v>0.12</v>
      </c>
      <c r="U41" s="110">
        <v>0.2</v>
      </c>
      <c r="Y41" s="126"/>
      <c r="Z41" s="126"/>
      <c r="AA41" s="142"/>
      <c r="AB41" s="142"/>
      <c r="AC41" s="140">
        <v>120000</v>
      </c>
      <c r="AD41" s="155">
        <v>1.4</v>
      </c>
      <c r="AE41" s="142">
        <v>1</v>
      </c>
      <c r="AF41" s="142"/>
    </row>
    <row r="42" spans="11:32" ht="13.5" thickBot="1" x14ac:dyDescent="0.25">
      <c r="L42">
        <f>ROW()</f>
        <v>42</v>
      </c>
      <c r="N42" s="159" t="s">
        <v>70</v>
      </c>
      <c r="O42" s="111">
        <v>18000</v>
      </c>
      <c r="P42" s="113">
        <f t="dataTable" ref="P42:U46" dt2D="1" dtr="1" r1="E9" r2="I8" ca="1"/>
        <v>899.99999999999977</v>
      </c>
      <c r="Q42" s="114">
        <v>1035</v>
      </c>
      <c r="R42" s="114">
        <v>1170</v>
      </c>
      <c r="S42" s="114">
        <v>1260.0000000000002</v>
      </c>
      <c r="T42" s="114">
        <v>1350</v>
      </c>
      <c r="U42" s="115">
        <v>1620</v>
      </c>
      <c r="Y42" s="126"/>
      <c r="Z42" s="126"/>
      <c r="AA42" s="144"/>
      <c r="AB42" s="144"/>
      <c r="AC42" s="145">
        <v>160000</v>
      </c>
      <c r="AD42" s="156">
        <v>10</v>
      </c>
      <c r="AE42" s="146">
        <v>1</v>
      </c>
      <c r="AF42" s="144"/>
    </row>
    <row r="43" spans="11:32" ht="13.5" thickBot="1" x14ac:dyDescent="0.25">
      <c r="L43">
        <f>ROW()</f>
        <v>43</v>
      </c>
      <c r="M43" s="7"/>
      <c r="N43" s="160"/>
      <c r="O43" s="100">
        <v>5000</v>
      </c>
      <c r="P43" s="116">
        <v>315</v>
      </c>
      <c r="Q43" s="117">
        <v>450</v>
      </c>
      <c r="R43" s="117">
        <v>450</v>
      </c>
      <c r="S43" s="117">
        <v>450</v>
      </c>
      <c r="T43" s="117">
        <v>450</v>
      </c>
      <c r="U43" s="118">
        <v>450</v>
      </c>
      <c r="Y43" s="126"/>
      <c r="Z43" s="143"/>
      <c r="AA43" s="143"/>
      <c r="AB43" s="143"/>
      <c r="AC43" s="144"/>
      <c r="AD43" s="147">
        <f>LOOKUP(AB35,AB37:AB42,AC37:AC42)</f>
        <v>0.6</v>
      </c>
      <c r="AE43" s="148">
        <f>LOOKUP(AB35,AB37:AB42,AD37:AD42)</f>
        <v>999999</v>
      </c>
      <c r="AF43" s="15"/>
    </row>
    <row r="44" spans="11:32" ht="13.5" thickBot="1" x14ac:dyDescent="0.25">
      <c r="L44">
        <f>ROW()</f>
        <v>44</v>
      </c>
      <c r="M44" s="7"/>
      <c r="N44" s="160"/>
      <c r="O44" s="100">
        <v>100000</v>
      </c>
      <c r="P44" s="116">
        <v>4590</v>
      </c>
      <c r="Q44" s="117">
        <v>4724.9999999999991</v>
      </c>
      <c r="R44" s="117">
        <v>4860</v>
      </c>
      <c r="S44" s="117">
        <v>4950</v>
      </c>
      <c r="T44" s="117">
        <v>5039.9999999999991</v>
      </c>
      <c r="U44" s="118">
        <v>5399.9999999999991</v>
      </c>
      <c r="Y44" s="126"/>
      <c r="Z44" s="143"/>
      <c r="AA44" s="143"/>
      <c r="AB44" s="143"/>
      <c r="AC44" s="143"/>
      <c r="AD44" s="143"/>
      <c r="AE44" s="148">
        <f>LOOKUP(AB35,AB37:AB42,AE37:AE42)</f>
        <v>999999</v>
      </c>
      <c r="AF44" s="143"/>
    </row>
    <row r="45" spans="11:32" ht="13.5" thickBot="1" x14ac:dyDescent="0.25">
      <c r="L45">
        <f>ROW()</f>
        <v>45</v>
      </c>
      <c r="N45" s="160"/>
      <c r="O45" s="100">
        <v>999999</v>
      </c>
      <c r="P45" s="116">
        <v>4590</v>
      </c>
      <c r="Q45" s="117">
        <v>4724.9999999999991</v>
      </c>
      <c r="R45" s="117">
        <v>4860</v>
      </c>
      <c r="S45" s="117">
        <v>4950</v>
      </c>
      <c r="T45" s="117">
        <v>5039.9999999999991</v>
      </c>
      <c r="U45" s="118">
        <v>5399.9999999999991</v>
      </c>
      <c r="Y45" s="126"/>
      <c r="Z45" s="167" t="s">
        <v>3</v>
      </c>
      <c r="AA45" s="168"/>
      <c r="AB45" s="169"/>
      <c r="AC45" s="167" t="s">
        <v>4</v>
      </c>
      <c r="AD45" s="178"/>
      <c r="AE45" s="179"/>
    </row>
    <row r="46" spans="11:32" ht="13.5" thickBot="1" x14ac:dyDescent="0.25">
      <c r="L46">
        <f>ROW()</f>
        <v>46</v>
      </c>
      <c r="N46" s="161"/>
      <c r="O46" s="112">
        <v>9999</v>
      </c>
      <c r="P46" s="119">
        <v>539.95499999999993</v>
      </c>
      <c r="Q46" s="120">
        <v>674.95499999999981</v>
      </c>
      <c r="R46" s="120">
        <v>809.95499999999993</v>
      </c>
      <c r="S46" s="120">
        <v>899.91</v>
      </c>
      <c r="T46" s="120">
        <v>899.91</v>
      </c>
      <c r="U46" s="121">
        <v>899.91</v>
      </c>
      <c r="Z46" s="128" t="s">
        <v>5</v>
      </c>
      <c r="AA46" s="129" t="str">
        <f>"Up to "&amp;TEXT(keyPct,"0%")</f>
        <v>Up to 8%</v>
      </c>
      <c r="AB46" s="129" t="str">
        <f>"Over "&amp;TEXT(keyPct,"0%")</f>
        <v>Over 8%</v>
      </c>
      <c r="AC46" s="130" t="str">
        <f>Z46</f>
        <v>Match %</v>
      </c>
      <c r="AD46" s="129" t="str">
        <f>"Up to "&amp;TEXT(keyPct,"0%")</f>
        <v>Up to 8%</v>
      </c>
      <c r="AE46" s="129" t="str">
        <f>"Over "&amp;TEXT(keyPct,"0%")</f>
        <v>Over 8%</v>
      </c>
      <c r="AF46" s="126"/>
    </row>
    <row r="47" spans="11:32" x14ac:dyDescent="0.2">
      <c r="R47" s="72"/>
      <c r="Z47" s="131">
        <v>0</v>
      </c>
      <c r="AA47" s="132">
        <v>0.4</v>
      </c>
      <c r="AB47" s="133">
        <v>0</v>
      </c>
      <c r="AC47" s="131">
        <v>0</v>
      </c>
      <c r="AD47" s="132">
        <f t="shared" ref="AD47:AD52" si="4">MIN(AA47*$AD$43,$AE$43)</f>
        <v>0.24</v>
      </c>
      <c r="AE47" s="133">
        <f t="shared" ref="AE47:AE52" si="5">MIN(AB47*$AD$43,$AE$44)</f>
        <v>0</v>
      </c>
      <c r="AF47" s="126"/>
    </row>
    <row r="48" spans="11:32" x14ac:dyDescent="0.2">
      <c r="R48" s="72"/>
      <c r="Z48" s="134">
        <v>0.01</v>
      </c>
      <c r="AA48" s="135">
        <v>0.5</v>
      </c>
      <c r="AB48" s="136">
        <v>0.25</v>
      </c>
      <c r="AC48" s="134">
        <v>0.01</v>
      </c>
      <c r="AD48" s="135">
        <f t="shared" si="4"/>
        <v>0.3</v>
      </c>
      <c r="AE48" s="136">
        <f t="shared" si="5"/>
        <v>0.15</v>
      </c>
      <c r="AF48" s="126"/>
    </row>
    <row r="49" spans="14:32" x14ac:dyDescent="0.2">
      <c r="P49" s="180" t="s">
        <v>89</v>
      </c>
      <c r="Q49" s="181" t="s">
        <v>90</v>
      </c>
      <c r="R49" s="182" t="s">
        <v>91</v>
      </c>
      <c r="Z49" s="134">
        <v>0.25</v>
      </c>
      <c r="AA49" s="135">
        <v>0.6</v>
      </c>
      <c r="AB49" s="136">
        <v>0.3</v>
      </c>
      <c r="AC49" s="134">
        <v>0.25</v>
      </c>
      <c r="AD49" s="135">
        <f t="shared" si="4"/>
        <v>0.36</v>
      </c>
      <c r="AE49" s="136">
        <f t="shared" si="5"/>
        <v>0.18</v>
      </c>
      <c r="AF49" s="126"/>
    </row>
    <row r="50" spans="14:32" x14ac:dyDescent="0.2">
      <c r="O50" s="122">
        <v>1</v>
      </c>
      <c r="P50" s="123"/>
      <c r="Q50" s="124"/>
      <c r="R50" s="125"/>
      <c r="Z50" s="134">
        <v>0.5</v>
      </c>
      <c r="AA50" s="135">
        <v>0.7</v>
      </c>
      <c r="AB50" s="136">
        <v>0.35</v>
      </c>
      <c r="AC50" s="134">
        <v>0.5</v>
      </c>
      <c r="AD50" s="135">
        <f t="shared" si="4"/>
        <v>0.42</v>
      </c>
      <c r="AE50" s="136">
        <f t="shared" si="5"/>
        <v>0.21</v>
      </c>
      <c r="AF50" s="126"/>
    </row>
    <row r="51" spans="14:32" x14ac:dyDescent="0.2">
      <c r="O51" s="122">
        <v>2</v>
      </c>
      <c r="P51" s="123"/>
      <c r="Q51" s="124"/>
      <c r="R51" s="125"/>
      <c r="Z51" s="134">
        <v>0.75</v>
      </c>
      <c r="AA51" s="135">
        <v>0.8</v>
      </c>
      <c r="AB51" s="136">
        <v>0.4</v>
      </c>
      <c r="AC51" s="134">
        <v>0.75</v>
      </c>
      <c r="AD51" s="135">
        <f t="shared" si="4"/>
        <v>0.48</v>
      </c>
      <c r="AE51" s="136">
        <f t="shared" si="5"/>
        <v>0.24</v>
      </c>
      <c r="AF51" s="126"/>
    </row>
    <row r="52" spans="14:32" ht="13.5" thickBot="1" x14ac:dyDescent="0.25">
      <c r="O52" s="122">
        <v>3</v>
      </c>
      <c r="P52" s="123"/>
      <c r="Q52" s="124"/>
      <c r="R52" s="125"/>
      <c r="Z52" s="137">
        <v>1</v>
      </c>
      <c r="AA52" s="138">
        <v>0.9</v>
      </c>
      <c r="AB52" s="139">
        <v>0.45</v>
      </c>
      <c r="AC52" s="137">
        <v>1</v>
      </c>
      <c r="AD52" s="138">
        <f t="shared" si="4"/>
        <v>0.54</v>
      </c>
      <c r="AE52" s="139">
        <f t="shared" si="5"/>
        <v>0.27</v>
      </c>
      <c r="AF52" s="126"/>
    </row>
    <row r="53" spans="14:32" x14ac:dyDescent="0.2">
      <c r="O53" s="122">
        <v>4</v>
      </c>
      <c r="P53" s="123"/>
      <c r="Q53" s="124"/>
      <c r="R53" s="125"/>
    </row>
    <row r="54" spans="14:32" x14ac:dyDescent="0.2">
      <c r="O54" s="122" t="s">
        <v>83</v>
      </c>
      <c r="P54" s="123"/>
      <c r="Q54" s="124"/>
      <c r="R54" s="125"/>
    </row>
    <row r="55" spans="14:32" x14ac:dyDescent="0.2">
      <c r="O55" s="122">
        <v>2715</v>
      </c>
      <c r="P55" s="123"/>
      <c r="Q55" s="124"/>
      <c r="R55" s="125"/>
    </row>
    <row r="58" spans="14:32" x14ac:dyDescent="0.2">
      <c r="N58" s="65" t="s">
        <v>92</v>
      </c>
      <c r="O58" s="100">
        <v>1</v>
      </c>
    </row>
    <row r="60" spans="14:32" x14ac:dyDescent="0.2">
      <c r="N60" s="65" t="s">
        <v>77</v>
      </c>
      <c r="O60" s="175" t="s">
        <v>93</v>
      </c>
      <c r="P60" s="176"/>
      <c r="Q60" s="177"/>
    </row>
    <row r="95" ht="3.95" customHeight="1" x14ac:dyDescent="0.2"/>
    <row r="97" spans="52:57" x14ac:dyDescent="0.2">
      <c r="BB97" s="66" t="s">
        <v>45</v>
      </c>
    </row>
    <row r="99" spans="52:57" x14ac:dyDescent="0.2">
      <c r="AZ99" s="66" t="s">
        <v>14</v>
      </c>
    </row>
    <row r="101" spans="52:57" x14ac:dyDescent="0.2">
      <c r="BA101" s="64" t="s">
        <v>44</v>
      </c>
      <c r="BB101" s="64"/>
      <c r="BC101" s="64"/>
      <c r="BD101" s="64" t="s">
        <v>44</v>
      </c>
      <c r="BE101" s="64"/>
    </row>
    <row r="102" spans="52:57" x14ac:dyDescent="0.2">
      <c r="BA102" s="64" t="s">
        <v>44</v>
      </c>
      <c r="BB102" s="64" t="s">
        <v>44</v>
      </c>
      <c r="BC102" s="64"/>
      <c r="BD102" s="64" t="s">
        <v>44</v>
      </c>
      <c r="BE102" s="64" t="s">
        <v>44</v>
      </c>
    </row>
    <row r="103" spans="52:57" x14ac:dyDescent="0.2">
      <c r="BA103" s="64"/>
      <c r="BB103" s="64"/>
      <c r="BC103" s="64"/>
      <c r="BD103" s="64"/>
      <c r="BE103" s="64"/>
    </row>
    <row r="104" spans="52:57" x14ac:dyDescent="0.2">
      <c r="BA104" s="64" t="s">
        <v>44</v>
      </c>
      <c r="BB104" s="64" t="s">
        <v>44</v>
      </c>
      <c r="BC104" s="64"/>
      <c r="BD104" s="64"/>
      <c r="BE104" s="64" t="s">
        <v>44</v>
      </c>
    </row>
    <row r="105" spans="52:57" x14ac:dyDescent="0.2">
      <c r="BA105" s="64"/>
      <c r="BB105" s="64" t="s">
        <v>44</v>
      </c>
      <c r="BC105" s="64"/>
      <c r="BD105" s="64"/>
      <c r="BE105" s="64" t="s">
        <v>44</v>
      </c>
    </row>
    <row r="106" spans="52:57" x14ac:dyDescent="0.2">
      <c r="BA106" s="64" t="s">
        <v>44</v>
      </c>
      <c r="BB106" s="64"/>
      <c r="BC106" s="64"/>
      <c r="BD106" s="64"/>
      <c r="BE106" s="64" t="s">
        <v>44</v>
      </c>
    </row>
    <row r="108" spans="52:57" ht="6" customHeight="1" thickBot="1" x14ac:dyDescent="0.25"/>
    <row r="109" spans="52:57" ht="13.5" thickBot="1" x14ac:dyDescent="0.25">
      <c r="AZ109" s="71" t="s">
        <v>47</v>
      </c>
    </row>
    <row r="110" spans="52:57" ht="6" customHeight="1" thickBot="1" x14ac:dyDescent="0.25"/>
    <row r="111" spans="52:57" ht="13.5" customHeight="1" thickBot="1" x14ac:dyDescent="0.25">
      <c r="AZ111" s="86" t="s">
        <v>72</v>
      </c>
      <c r="BA111" s="164" t="s">
        <v>37</v>
      </c>
      <c r="BB111" s="165"/>
      <c r="BC111" s="165"/>
      <c r="BD111" s="165"/>
      <c r="BE111" s="166"/>
    </row>
    <row r="112" spans="52:57" ht="15.95" customHeight="1" thickBot="1" x14ac:dyDescent="0.25">
      <c r="AZ112" s="70" t="s">
        <v>46</v>
      </c>
      <c r="BA112" s="70"/>
      <c r="BB112" s="70"/>
      <c r="BC112" s="70" t="s">
        <v>46</v>
      </c>
      <c r="BD112" s="70"/>
      <c r="BE112" s="70"/>
    </row>
    <row r="113" spans="52:60" ht="26.25" thickBot="1" x14ac:dyDescent="0.25">
      <c r="AZ113" s="57" t="s">
        <v>55</v>
      </c>
      <c r="BA113" s="62" t="s">
        <v>39</v>
      </c>
      <c r="BB113" s="62" t="s">
        <v>40</v>
      </c>
      <c r="BC113" s="62" t="s">
        <v>41</v>
      </c>
      <c r="BD113" s="62" t="s">
        <v>42</v>
      </c>
      <c r="BE113" s="62" t="s">
        <v>43</v>
      </c>
      <c r="BH113" s="65" t="s">
        <v>50</v>
      </c>
    </row>
    <row r="114" spans="52:60" x14ac:dyDescent="0.2">
      <c r="AZ114" s="58" t="s">
        <v>56</v>
      </c>
      <c r="BA114" s="60"/>
      <c r="BB114" s="60"/>
      <c r="BC114" s="60"/>
      <c r="BD114" s="60"/>
      <c r="BE114" s="67"/>
      <c r="BH114" s="65" t="s">
        <v>51</v>
      </c>
    </row>
    <row r="115" spans="52:60" ht="15.75" x14ac:dyDescent="0.25">
      <c r="AZ115" s="58" t="s">
        <v>57</v>
      </c>
      <c r="BA115" s="60"/>
      <c r="BB115" s="162" t="s">
        <v>38</v>
      </c>
      <c r="BC115" s="163"/>
      <c r="BD115" s="163"/>
      <c r="BE115" s="68"/>
      <c r="BH115" s="72" t="s">
        <v>52</v>
      </c>
    </row>
    <row r="116" spans="52:60" ht="13.5" thickBot="1" x14ac:dyDescent="0.25">
      <c r="AZ116" s="59" t="s">
        <v>58</v>
      </c>
      <c r="BA116" s="61"/>
      <c r="BB116" s="61"/>
      <c r="BC116" s="61"/>
      <c r="BD116" s="61"/>
      <c r="BE116" s="69"/>
      <c r="BH116" s="72" t="s">
        <v>76</v>
      </c>
    </row>
    <row r="117" spans="52:60" ht="13.5" thickBot="1" x14ac:dyDescent="0.25"/>
    <row r="118" spans="52:60" ht="13.5" thickBot="1" x14ac:dyDescent="0.25">
      <c r="AZ118" s="71" t="s">
        <v>48</v>
      </c>
    </row>
    <row r="119" spans="52:60" ht="6" customHeight="1" thickBot="1" x14ac:dyDescent="0.25"/>
    <row r="120" spans="52:60" ht="13.5" thickBot="1" x14ac:dyDescent="0.25">
      <c r="AZ120" s="63" t="s">
        <v>49</v>
      </c>
      <c r="BA120" s="164" t="s">
        <v>73</v>
      </c>
      <c r="BB120" s="165"/>
      <c r="BC120" s="165"/>
      <c r="BD120" s="165"/>
      <c r="BE120" s="166"/>
    </row>
    <row r="121" spans="52:60" ht="13.5" thickBot="1" x14ac:dyDescent="0.25">
      <c r="AZ121" s="70" t="s">
        <v>46</v>
      </c>
      <c r="BA121" s="70"/>
      <c r="BB121" s="70"/>
      <c r="BC121" s="70" t="s">
        <v>46</v>
      </c>
      <c r="BD121" s="70"/>
      <c r="BE121" s="70"/>
    </row>
    <row r="122" spans="52:60" ht="26.25" thickBot="1" x14ac:dyDescent="0.25">
      <c r="AZ122" s="57" t="s">
        <v>39</v>
      </c>
      <c r="BA122" s="62" t="s">
        <v>59</v>
      </c>
      <c r="BB122" s="62" t="s">
        <v>60</v>
      </c>
      <c r="BC122" s="62" t="s">
        <v>61</v>
      </c>
      <c r="BD122" s="62" t="s">
        <v>62</v>
      </c>
      <c r="BE122" s="62" t="s">
        <v>63</v>
      </c>
      <c r="BH122" s="65" t="s">
        <v>50</v>
      </c>
    </row>
    <row r="123" spans="52:60" x14ac:dyDescent="0.2">
      <c r="AZ123" s="58" t="s">
        <v>40</v>
      </c>
      <c r="BA123" s="60"/>
      <c r="BB123" s="60"/>
      <c r="BC123" s="60"/>
      <c r="BD123" s="60"/>
      <c r="BE123" s="67"/>
      <c r="BH123" s="65" t="s">
        <v>51</v>
      </c>
    </row>
    <row r="124" spans="52:60" ht="15.75" x14ac:dyDescent="0.25">
      <c r="AZ124" s="58" t="s">
        <v>41</v>
      </c>
      <c r="BA124" s="60"/>
      <c r="BB124" s="162" t="s">
        <v>38</v>
      </c>
      <c r="BC124" s="163"/>
      <c r="BD124" s="163"/>
      <c r="BE124" s="68"/>
      <c r="BH124" s="72" t="s">
        <v>54</v>
      </c>
    </row>
    <row r="125" spans="52:60" ht="13.5" thickBot="1" x14ac:dyDescent="0.25">
      <c r="AZ125" s="59" t="s">
        <v>43</v>
      </c>
      <c r="BA125" s="61"/>
      <c r="BB125" s="61"/>
      <c r="BC125" s="61"/>
      <c r="BD125" s="61"/>
      <c r="BE125" s="69"/>
      <c r="BH125" s="72" t="s">
        <v>76</v>
      </c>
    </row>
    <row r="126" spans="52:60" ht="8.1" customHeight="1" x14ac:dyDescent="0.2"/>
    <row r="127" spans="52:60" ht="12.95" customHeight="1" x14ac:dyDescent="0.2"/>
    <row r="128" spans="52:60" ht="12.95" customHeight="1" x14ac:dyDescent="0.2"/>
    <row r="129" spans="52:60" ht="12.95" customHeight="1" x14ac:dyDescent="0.2"/>
    <row r="130" spans="52:60" ht="3.95" customHeight="1" thickBot="1" x14ac:dyDescent="0.25"/>
    <row r="131" spans="52:60" ht="13.5" thickBot="1" x14ac:dyDescent="0.25">
      <c r="BA131" s="164" t="s">
        <v>47</v>
      </c>
      <c r="BB131" s="166"/>
      <c r="BD131" s="164" t="s">
        <v>48</v>
      </c>
      <c r="BE131" s="166"/>
    </row>
    <row r="132" spans="52:60" x14ac:dyDescent="0.2">
      <c r="AZ132" s="84"/>
      <c r="BA132" s="85"/>
      <c r="BC132" s="84"/>
      <c r="BD132" s="85"/>
    </row>
    <row r="133" spans="52:60" ht="2.1" customHeight="1" thickBot="1" x14ac:dyDescent="0.25"/>
    <row r="134" spans="52:60" ht="26.25" thickBot="1" x14ac:dyDescent="0.25">
      <c r="AZ134" s="73" t="s">
        <v>75</v>
      </c>
      <c r="BA134" s="164" t="s">
        <v>74</v>
      </c>
      <c r="BB134" s="165"/>
      <c r="BC134" s="165"/>
      <c r="BD134" s="165"/>
      <c r="BE134" s="166"/>
    </row>
    <row r="135" spans="52:60" ht="13.5" thickBot="1" x14ac:dyDescent="0.25">
      <c r="AZ135" s="70" t="s">
        <v>46</v>
      </c>
      <c r="BA135" s="70"/>
      <c r="BB135" s="70"/>
      <c r="BC135" s="70" t="s">
        <v>46</v>
      </c>
      <c r="BD135" s="70"/>
      <c r="BE135" s="70"/>
      <c r="BH135" s="65"/>
    </row>
    <row r="136" spans="52:60" ht="27" customHeight="1" thickBot="1" x14ac:dyDescent="0.25">
      <c r="AZ136" s="74" t="s">
        <v>65</v>
      </c>
      <c r="BA136" s="62" t="s">
        <v>59</v>
      </c>
      <c r="BB136" s="62" t="s">
        <v>60</v>
      </c>
      <c r="BC136" s="62" t="s">
        <v>61</v>
      </c>
      <c r="BD136" s="62" t="s">
        <v>62</v>
      </c>
      <c r="BE136" s="62" t="s">
        <v>64</v>
      </c>
      <c r="BH136" s="77" t="s">
        <v>68</v>
      </c>
    </row>
    <row r="137" spans="52:60" x14ac:dyDescent="0.2">
      <c r="AZ137" s="75" t="s">
        <v>55</v>
      </c>
      <c r="BA137" s="60"/>
      <c r="BB137" s="60"/>
      <c r="BC137" s="60"/>
      <c r="BD137" s="60"/>
      <c r="BE137" s="67"/>
      <c r="BH137" t="s">
        <v>66</v>
      </c>
    </row>
    <row r="138" spans="52:60" ht="27.95" customHeight="1" x14ac:dyDescent="0.2">
      <c r="AZ138" s="75" t="s">
        <v>56</v>
      </c>
      <c r="BA138" s="60"/>
      <c r="BB138" s="172" t="s">
        <v>67</v>
      </c>
      <c r="BC138" s="173"/>
      <c r="BD138" s="173"/>
      <c r="BE138" s="68"/>
      <c r="BH138" s="72" t="s">
        <v>52</v>
      </c>
    </row>
    <row r="139" spans="52:60" ht="13.5" thickBot="1" x14ac:dyDescent="0.25">
      <c r="AZ139" s="76" t="s">
        <v>58</v>
      </c>
      <c r="BA139" s="61"/>
      <c r="BB139" s="61"/>
      <c r="BC139" s="61"/>
      <c r="BD139" s="61"/>
      <c r="BE139" s="69"/>
      <c r="BH139" s="72" t="s">
        <v>53</v>
      </c>
    </row>
  </sheetData>
  <mergeCells count="17">
    <mergeCell ref="BA134:BE134"/>
    <mergeCell ref="BB138:BD138"/>
    <mergeCell ref="BA131:BB131"/>
    <mergeCell ref="BD131:BE131"/>
    <mergeCell ref="O7:U7"/>
    <mergeCell ref="O17:U17"/>
    <mergeCell ref="O60:Q60"/>
    <mergeCell ref="P28:U28"/>
    <mergeCell ref="AC45:AE45"/>
    <mergeCell ref="N30:N34"/>
    <mergeCell ref="N42:N46"/>
    <mergeCell ref="BB124:BD124"/>
    <mergeCell ref="BA120:BE120"/>
    <mergeCell ref="BB115:BD115"/>
    <mergeCell ref="BA111:BE111"/>
    <mergeCell ref="Z45:AB45"/>
    <mergeCell ref="P40:U40"/>
  </mergeCells>
  <hyperlinks>
    <hyperlink ref="A3" r:id="rId1"/>
  </hyperlinks>
  <pageMargins left="0.7" right="0.7" top="0.75" bottom="0.75" header="0.3" footer="0.3"/>
  <pageSetup orientation="portrait" verticalDpi="1200" r:id="rId2"/>
  <customProperties>
    <customPr name="watsonwyatt_sheetdata" r:id="rId3"/>
  </customPropertie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workbookViewId="0"/>
  </sheetViews>
  <sheetFormatPr defaultRowHeight="12.75" x14ac:dyDescent="0.2"/>
  <cols>
    <col min="3" max="3" width="5.5703125" customWidth="1"/>
    <col min="5" max="5" width="9.85546875" bestFit="1" customWidth="1"/>
  </cols>
  <sheetData>
    <row r="1" spans="1:8" x14ac:dyDescent="0.2">
      <c r="A1" s="65" t="s">
        <v>96</v>
      </c>
    </row>
    <row r="3" spans="1:8" x14ac:dyDescent="0.2">
      <c r="D3" s="93" t="s">
        <v>85</v>
      </c>
      <c r="E3" s="93" t="s">
        <v>86</v>
      </c>
      <c r="F3" s="93" t="s">
        <v>82</v>
      </c>
      <c r="G3" s="93" t="s">
        <v>87</v>
      </c>
      <c r="H3" s="93" t="s">
        <v>88</v>
      </c>
    </row>
    <row r="4" spans="1:8" x14ac:dyDescent="0.2">
      <c r="D4" s="87">
        <v>1</v>
      </c>
      <c r="E4" s="87">
        <v>2</v>
      </c>
      <c r="F4" s="87">
        <v>3</v>
      </c>
      <c r="G4" s="87">
        <v>4</v>
      </c>
      <c r="H4" s="87">
        <v>5</v>
      </c>
    </row>
    <row r="5" spans="1:8" x14ac:dyDescent="0.2">
      <c r="D5" s="88" t="s">
        <v>78</v>
      </c>
      <c r="E5" s="88" t="s">
        <v>77</v>
      </c>
      <c r="F5" s="88" t="s">
        <v>79</v>
      </c>
      <c r="G5" s="88" t="s">
        <v>80</v>
      </c>
      <c r="H5" s="88" t="s">
        <v>84</v>
      </c>
    </row>
    <row r="6" spans="1:8" x14ac:dyDescent="0.2">
      <c r="C6">
        <v>3</v>
      </c>
      <c r="D6" s="89" t="s">
        <v>81</v>
      </c>
      <c r="E6" s="89">
        <v>42</v>
      </c>
      <c r="F6" s="89">
        <v>5</v>
      </c>
      <c r="G6" s="90">
        <v>25000</v>
      </c>
      <c r="H6" s="90">
        <v>730</v>
      </c>
    </row>
    <row r="7" spans="1:8" x14ac:dyDescent="0.2">
      <c r="C7">
        <v>4</v>
      </c>
      <c r="D7" s="91" t="s">
        <v>82</v>
      </c>
      <c r="E7" s="91">
        <v>42</v>
      </c>
      <c r="F7" s="91">
        <v>5</v>
      </c>
      <c r="G7" s="92">
        <v>53333</v>
      </c>
      <c r="H7" s="92">
        <v>7689</v>
      </c>
    </row>
    <row r="8" spans="1:8" x14ac:dyDescent="0.2">
      <c r="C8">
        <v>5</v>
      </c>
      <c r="D8" s="91" t="s">
        <v>82</v>
      </c>
      <c r="E8" s="91">
        <v>22</v>
      </c>
      <c r="F8" s="91">
        <v>1</v>
      </c>
      <c r="G8" s="92">
        <v>19000</v>
      </c>
      <c r="H8" s="92">
        <v>555</v>
      </c>
    </row>
    <row r="9" spans="1:8" x14ac:dyDescent="0.2">
      <c r="C9">
        <v>6</v>
      </c>
      <c r="D9" s="91" t="s">
        <v>81</v>
      </c>
      <c r="E9" s="91">
        <v>35</v>
      </c>
      <c r="F9" s="91">
        <v>4</v>
      </c>
      <c r="G9" s="92">
        <v>47867</v>
      </c>
      <c r="H9" s="92">
        <v>3245</v>
      </c>
    </row>
    <row r="10" spans="1:8" x14ac:dyDescent="0.2">
      <c r="C10">
        <v>7</v>
      </c>
      <c r="D10" s="91" t="s">
        <v>81</v>
      </c>
      <c r="E10" s="91">
        <v>58</v>
      </c>
      <c r="F10" s="91">
        <v>24</v>
      </c>
      <c r="G10" s="92">
        <v>73546</v>
      </c>
      <c r="H10" s="92">
        <v>7355</v>
      </c>
    </row>
    <row r="11" spans="1:8" x14ac:dyDescent="0.2">
      <c r="D11" s="91" t="s">
        <v>83</v>
      </c>
      <c r="E11" s="91" t="s">
        <v>83</v>
      </c>
      <c r="F11" s="91" t="s">
        <v>83</v>
      </c>
      <c r="G11" s="91" t="s">
        <v>83</v>
      </c>
      <c r="H11" s="92" t="s">
        <v>83</v>
      </c>
    </row>
    <row r="12" spans="1:8" x14ac:dyDescent="0.2">
      <c r="C12" s="2">
        <v>2718</v>
      </c>
      <c r="D12" s="91" t="s">
        <v>82</v>
      </c>
      <c r="E12" s="91">
        <v>65</v>
      </c>
      <c r="F12" s="91">
        <v>43</v>
      </c>
      <c r="G12" s="92">
        <v>125434</v>
      </c>
      <c r="H12" s="92">
        <v>18815</v>
      </c>
    </row>
    <row r="14" spans="1:8" x14ac:dyDescent="0.2">
      <c r="C14">
        <v>1</v>
      </c>
      <c r="D14" s="93" t="s">
        <v>85</v>
      </c>
      <c r="E14" s="93" t="s">
        <v>86</v>
      </c>
      <c r="F14" s="93" t="s">
        <v>82</v>
      </c>
      <c r="G14" s="93" t="s">
        <v>87</v>
      </c>
      <c r="H14" s="93" t="s">
        <v>88</v>
      </c>
    </row>
    <row r="15" spans="1:8" x14ac:dyDescent="0.2">
      <c r="C15">
        <v>2</v>
      </c>
      <c r="D15" s="87">
        <v>1</v>
      </c>
      <c r="E15" s="87">
        <v>2</v>
      </c>
      <c r="F15" s="87">
        <v>3</v>
      </c>
      <c r="G15" s="87">
        <v>4</v>
      </c>
      <c r="H15" s="87">
        <v>5</v>
      </c>
    </row>
    <row r="16" spans="1:8" x14ac:dyDescent="0.2">
      <c r="C16">
        <v>3</v>
      </c>
      <c r="D16" s="88" t="s">
        <v>78</v>
      </c>
      <c r="E16" s="88" t="s">
        <v>77</v>
      </c>
      <c r="F16" s="88" t="s">
        <v>79</v>
      </c>
      <c r="G16" s="88" t="s">
        <v>80</v>
      </c>
      <c r="H16" s="88" t="s">
        <v>84</v>
      </c>
    </row>
    <row r="17" spans="3:8" x14ac:dyDescent="0.2">
      <c r="C17">
        <v>4</v>
      </c>
      <c r="D17" s="94" t="s">
        <v>81</v>
      </c>
      <c r="E17" s="94">
        <v>42</v>
      </c>
      <c r="F17" s="94">
        <v>5</v>
      </c>
      <c r="G17" s="95">
        <v>25000</v>
      </c>
      <c r="H17" s="95">
        <v>730</v>
      </c>
    </row>
    <row r="18" spans="3:8" x14ac:dyDescent="0.2">
      <c r="C18">
        <v>5</v>
      </c>
      <c r="D18" s="96" t="s">
        <v>82</v>
      </c>
      <c r="E18" s="96">
        <v>42</v>
      </c>
      <c r="F18" s="96">
        <v>5</v>
      </c>
      <c r="G18" s="97">
        <v>53333</v>
      </c>
      <c r="H18" s="97">
        <v>7689</v>
      </c>
    </row>
    <row r="19" spans="3:8" x14ac:dyDescent="0.2">
      <c r="C19">
        <v>6</v>
      </c>
      <c r="D19" s="96" t="s">
        <v>82</v>
      </c>
      <c r="E19" s="96">
        <v>22</v>
      </c>
      <c r="F19" s="96">
        <v>1</v>
      </c>
      <c r="G19" s="97">
        <v>19000</v>
      </c>
      <c r="H19" s="97">
        <v>555</v>
      </c>
    </row>
    <row r="20" spans="3:8" x14ac:dyDescent="0.2">
      <c r="C20">
        <v>7</v>
      </c>
      <c r="D20" s="96" t="s">
        <v>81</v>
      </c>
      <c r="E20" s="96">
        <v>35</v>
      </c>
      <c r="F20" s="96">
        <v>4</v>
      </c>
      <c r="G20" s="97">
        <v>47867</v>
      </c>
      <c r="H20" s="97">
        <v>3245</v>
      </c>
    </row>
    <row r="21" spans="3:8" x14ac:dyDescent="0.2">
      <c r="C21">
        <v>8</v>
      </c>
      <c r="D21" s="96" t="s">
        <v>81</v>
      </c>
      <c r="E21" s="96">
        <v>58</v>
      </c>
      <c r="F21" s="96">
        <v>24</v>
      </c>
      <c r="G21" s="97">
        <v>73546</v>
      </c>
      <c r="H21" s="97">
        <v>7355</v>
      </c>
    </row>
    <row r="22" spans="3:8" x14ac:dyDescent="0.2">
      <c r="C22" s="65" t="s">
        <v>83</v>
      </c>
      <c r="D22" s="98" t="s">
        <v>83</v>
      </c>
      <c r="E22" s="98" t="s">
        <v>83</v>
      </c>
      <c r="F22" s="98" t="s">
        <v>83</v>
      </c>
      <c r="G22" s="98" t="s">
        <v>83</v>
      </c>
      <c r="H22" s="99" t="s">
        <v>83</v>
      </c>
    </row>
    <row r="23" spans="3:8" x14ac:dyDescent="0.2">
      <c r="C23" s="2">
        <v>2718</v>
      </c>
      <c r="D23" s="96" t="s">
        <v>82</v>
      </c>
      <c r="E23" s="96">
        <v>65</v>
      </c>
      <c r="F23" s="96">
        <v>43</v>
      </c>
      <c r="G23" s="97">
        <v>125434</v>
      </c>
      <c r="H23" s="97">
        <v>18815</v>
      </c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E2:M46"/>
  <sheetViews>
    <sheetView topLeftCell="A20" workbookViewId="0">
      <selection activeCell="E39" sqref="E39"/>
    </sheetView>
  </sheetViews>
  <sheetFormatPr defaultRowHeight="12.75" x14ac:dyDescent="0.2"/>
  <cols>
    <col min="2" max="3" width="1" customWidth="1"/>
    <col min="4" max="4" width="0.85546875" customWidth="1"/>
    <col min="5" max="5" width="18.7109375" customWidth="1"/>
    <col min="6" max="10" width="8.7109375" customWidth="1"/>
    <col min="11" max="11" width="2.7109375" customWidth="1"/>
    <col min="12" max="12" width="2.5703125" customWidth="1"/>
    <col min="13" max="13" width="6.5703125" customWidth="1"/>
    <col min="14" max="14" width="1" customWidth="1"/>
  </cols>
  <sheetData>
    <row r="2" spans="5:10" x14ac:dyDescent="0.2">
      <c r="G2" s="66" t="s">
        <v>45</v>
      </c>
    </row>
    <row r="4" spans="5:10" x14ac:dyDescent="0.2">
      <c r="E4" s="66" t="s">
        <v>14</v>
      </c>
    </row>
    <row r="6" spans="5:10" ht="11.1" customHeight="1" x14ac:dyDescent="0.2">
      <c r="F6" s="64" t="s">
        <v>44</v>
      </c>
      <c r="G6" s="64"/>
      <c r="H6" s="64"/>
      <c r="I6" s="64" t="s">
        <v>44</v>
      </c>
      <c r="J6" s="64"/>
    </row>
    <row r="7" spans="5:10" ht="11.1" customHeight="1" x14ac:dyDescent="0.2">
      <c r="F7" s="64" t="s">
        <v>44</v>
      </c>
      <c r="G7" s="64" t="s">
        <v>44</v>
      </c>
      <c r="H7" s="64"/>
      <c r="I7" s="64" t="s">
        <v>44</v>
      </c>
      <c r="J7" s="64" t="s">
        <v>44</v>
      </c>
    </row>
    <row r="8" spans="5:10" ht="11.1" customHeight="1" x14ac:dyDescent="0.2">
      <c r="F8" s="64"/>
      <c r="G8" s="64"/>
      <c r="H8" s="64"/>
      <c r="I8" s="64"/>
      <c r="J8" s="64"/>
    </row>
    <row r="9" spans="5:10" ht="11.1" customHeight="1" x14ac:dyDescent="0.2">
      <c r="F9" s="64" t="s">
        <v>44</v>
      </c>
      <c r="G9" s="64" t="s">
        <v>44</v>
      </c>
      <c r="H9" s="64"/>
      <c r="I9" s="64"/>
      <c r="J9" s="64" t="s">
        <v>44</v>
      </c>
    </row>
    <row r="10" spans="5:10" ht="11.1" customHeight="1" x14ac:dyDescent="0.2">
      <c r="F10" s="64"/>
      <c r="G10" s="64" t="s">
        <v>44</v>
      </c>
      <c r="H10" s="64"/>
      <c r="I10" s="64"/>
      <c r="J10" s="64" t="s">
        <v>44</v>
      </c>
    </row>
    <row r="11" spans="5:10" ht="11.1" customHeight="1" x14ac:dyDescent="0.2">
      <c r="F11" s="64" t="s">
        <v>44</v>
      </c>
      <c r="G11" s="64"/>
      <c r="H11" s="64"/>
      <c r="I11" s="64"/>
      <c r="J11" s="64" t="s">
        <v>44</v>
      </c>
    </row>
    <row r="13" spans="5:10" ht="11.1" customHeight="1" thickBot="1" x14ac:dyDescent="0.25"/>
    <row r="14" spans="5:10" ht="11.1" customHeight="1" thickBot="1" x14ac:dyDescent="0.25">
      <c r="E14" s="71" t="s">
        <v>47</v>
      </c>
    </row>
    <row r="15" spans="5:10" ht="11.1" customHeight="1" thickBot="1" x14ac:dyDescent="0.25"/>
    <row r="16" spans="5:10" ht="13.5" thickBot="1" x14ac:dyDescent="0.25">
      <c r="E16" s="86" t="s">
        <v>72</v>
      </c>
      <c r="F16" s="164" t="s">
        <v>37</v>
      </c>
      <c r="G16" s="165"/>
      <c r="H16" s="165"/>
      <c r="I16" s="165"/>
      <c r="J16" s="166"/>
    </row>
    <row r="17" spans="5:13" ht="13.5" thickBot="1" x14ac:dyDescent="0.25">
      <c r="E17" s="70" t="s">
        <v>46</v>
      </c>
      <c r="F17" s="70"/>
      <c r="G17" s="70"/>
      <c r="H17" s="70" t="s">
        <v>46</v>
      </c>
      <c r="I17" s="70"/>
      <c r="J17" s="70"/>
    </row>
    <row r="18" spans="5:13" ht="26.25" thickBot="1" x14ac:dyDescent="0.25">
      <c r="E18" s="103"/>
      <c r="F18" s="62" t="s">
        <v>39</v>
      </c>
      <c r="G18" s="62" t="s">
        <v>40</v>
      </c>
      <c r="H18" s="62" t="s">
        <v>41</v>
      </c>
      <c r="I18" s="62" t="s">
        <v>42</v>
      </c>
      <c r="J18" s="62" t="s">
        <v>43</v>
      </c>
    </row>
    <row r="19" spans="5:13" x14ac:dyDescent="0.2">
      <c r="E19" s="58" t="s">
        <v>55</v>
      </c>
      <c r="F19" s="60"/>
      <c r="G19" s="60"/>
      <c r="H19" s="60"/>
      <c r="I19" s="60"/>
      <c r="J19" s="67"/>
      <c r="M19" s="65" t="s">
        <v>50</v>
      </c>
    </row>
    <row r="20" spans="5:13" x14ac:dyDescent="0.2">
      <c r="E20" s="58" t="s">
        <v>56</v>
      </c>
      <c r="F20" s="60"/>
      <c r="G20" s="60"/>
      <c r="H20" s="60"/>
      <c r="I20" s="60"/>
      <c r="J20" s="68"/>
      <c r="M20" s="65" t="s">
        <v>51</v>
      </c>
    </row>
    <row r="21" spans="5:13" ht="15.75" x14ac:dyDescent="0.25">
      <c r="E21" s="58" t="s">
        <v>57</v>
      </c>
      <c r="F21" s="60"/>
      <c r="G21" s="162" t="s">
        <v>38</v>
      </c>
      <c r="H21" s="163"/>
      <c r="I21" s="163"/>
      <c r="J21" s="68"/>
      <c r="M21" s="72" t="s">
        <v>52</v>
      </c>
    </row>
    <row r="22" spans="5:13" ht="13.5" thickBot="1" x14ac:dyDescent="0.25">
      <c r="E22" s="59" t="s">
        <v>58</v>
      </c>
      <c r="F22" s="61"/>
      <c r="G22" s="61"/>
      <c r="H22" s="61"/>
      <c r="I22" s="61"/>
      <c r="J22" s="69"/>
      <c r="M22" s="72" t="s">
        <v>76</v>
      </c>
    </row>
    <row r="23" spans="5:13" ht="13.5" thickBot="1" x14ac:dyDescent="0.25"/>
    <row r="24" spans="5:13" ht="11.1" customHeight="1" thickBot="1" x14ac:dyDescent="0.25">
      <c r="E24" s="71" t="s">
        <v>48</v>
      </c>
    </row>
    <row r="25" spans="5:13" ht="11.1" customHeight="1" thickBot="1" x14ac:dyDescent="0.25"/>
    <row r="26" spans="5:13" ht="13.5" thickBot="1" x14ac:dyDescent="0.25">
      <c r="E26" s="63" t="s">
        <v>49</v>
      </c>
      <c r="F26" s="164" t="s">
        <v>73</v>
      </c>
      <c r="G26" s="165"/>
      <c r="H26" s="165"/>
      <c r="I26" s="165"/>
      <c r="J26" s="166"/>
    </row>
    <row r="27" spans="5:13" ht="13.5" thickBot="1" x14ac:dyDescent="0.25">
      <c r="E27" s="70" t="s">
        <v>46</v>
      </c>
      <c r="F27" s="70"/>
      <c r="G27" s="70"/>
      <c r="H27" s="70" t="s">
        <v>46</v>
      </c>
      <c r="I27" s="70"/>
      <c r="J27" s="70"/>
    </row>
    <row r="28" spans="5:13" ht="26.25" thickBot="1" x14ac:dyDescent="0.25">
      <c r="E28" s="103"/>
      <c r="F28" s="62" t="s">
        <v>59</v>
      </c>
      <c r="G28" s="62" t="s">
        <v>60</v>
      </c>
      <c r="H28" s="62" t="s">
        <v>61</v>
      </c>
      <c r="I28" s="62" t="s">
        <v>62</v>
      </c>
      <c r="J28" s="62" t="s">
        <v>63</v>
      </c>
    </row>
    <row r="29" spans="5:13" x14ac:dyDescent="0.2">
      <c r="E29" s="58" t="s">
        <v>39</v>
      </c>
      <c r="F29" s="104"/>
      <c r="G29" s="104"/>
      <c r="H29" s="104"/>
      <c r="I29" s="104"/>
      <c r="J29" s="105"/>
      <c r="M29" s="65" t="s">
        <v>50</v>
      </c>
    </row>
    <row r="30" spans="5:13" x14ac:dyDescent="0.2">
      <c r="E30" s="58" t="s">
        <v>40</v>
      </c>
      <c r="F30" s="60"/>
      <c r="G30" s="60"/>
      <c r="H30" s="60"/>
      <c r="I30" s="60"/>
      <c r="J30" s="68"/>
      <c r="M30" s="65" t="s">
        <v>51</v>
      </c>
    </row>
    <row r="31" spans="5:13" ht="15.75" x14ac:dyDescent="0.25">
      <c r="E31" s="58" t="s">
        <v>41</v>
      </c>
      <c r="F31" s="60"/>
      <c r="G31" s="162" t="s">
        <v>38</v>
      </c>
      <c r="H31" s="163"/>
      <c r="I31" s="163"/>
      <c r="J31" s="68"/>
      <c r="M31" s="72" t="s">
        <v>54</v>
      </c>
    </row>
    <row r="32" spans="5:13" ht="13.5" thickBot="1" x14ac:dyDescent="0.25">
      <c r="E32" s="59" t="s">
        <v>43</v>
      </c>
      <c r="F32" s="61"/>
      <c r="G32" s="61"/>
      <c r="H32" s="61"/>
      <c r="I32" s="61"/>
      <c r="J32" s="69"/>
      <c r="M32" s="72" t="s">
        <v>76</v>
      </c>
    </row>
    <row r="37" spans="5:13" ht="13.5" thickBot="1" x14ac:dyDescent="0.25"/>
    <row r="38" spans="5:13" ht="13.5" thickBot="1" x14ac:dyDescent="0.25">
      <c r="F38" s="164" t="s">
        <v>47</v>
      </c>
      <c r="G38" s="166"/>
      <c r="I38" s="164" t="s">
        <v>48</v>
      </c>
      <c r="J38" s="166"/>
    </row>
    <row r="39" spans="5:13" x14ac:dyDescent="0.2">
      <c r="E39" s="84"/>
      <c r="F39" s="85"/>
      <c r="H39" s="84"/>
      <c r="I39" s="85"/>
    </row>
    <row r="40" spans="5:13" ht="13.5" thickBot="1" x14ac:dyDescent="0.25"/>
    <row r="41" spans="5:13" ht="26.25" thickBot="1" x14ac:dyDescent="0.25">
      <c r="E41" s="73" t="s">
        <v>75</v>
      </c>
      <c r="F41" s="164" t="s">
        <v>74</v>
      </c>
      <c r="G41" s="165"/>
      <c r="H41" s="165"/>
      <c r="I41" s="165"/>
      <c r="J41" s="166"/>
    </row>
    <row r="42" spans="5:13" ht="13.5" thickBot="1" x14ac:dyDescent="0.25">
      <c r="E42" s="70" t="s">
        <v>46</v>
      </c>
      <c r="F42" s="70"/>
      <c r="G42" s="70"/>
      <c r="H42" s="70" t="s">
        <v>46</v>
      </c>
      <c r="I42" s="70"/>
      <c r="J42" s="70"/>
      <c r="M42" s="65"/>
    </row>
    <row r="43" spans="5:13" ht="26.25" thickBot="1" x14ac:dyDescent="0.25">
      <c r="E43" s="74" t="s">
        <v>65</v>
      </c>
      <c r="F43" s="62" t="s">
        <v>59</v>
      </c>
      <c r="G43" s="62" t="s">
        <v>60</v>
      </c>
      <c r="H43" s="62" t="s">
        <v>61</v>
      </c>
      <c r="I43" s="62" t="s">
        <v>62</v>
      </c>
      <c r="J43" s="62" t="s">
        <v>64</v>
      </c>
      <c r="M43" s="77" t="s">
        <v>68</v>
      </c>
    </row>
    <row r="44" spans="5:13" x14ac:dyDescent="0.2">
      <c r="E44" s="75" t="s">
        <v>55</v>
      </c>
      <c r="F44" s="60"/>
      <c r="G44" s="60"/>
      <c r="H44" s="60"/>
      <c r="I44" s="60"/>
      <c r="J44" s="67"/>
      <c r="M44" t="s">
        <v>66</v>
      </c>
    </row>
    <row r="45" spans="5:13" ht="14.25" x14ac:dyDescent="0.2">
      <c r="E45" s="75" t="s">
        <v>56</v>
      </c>
      <c r="F45" s="60"/>
      <c r="G45" s="172" t="s">
        <v>67</v>
      </c>
      <c r="H45" s="173"/>
      <c r="I45" s="173"/>
      <c r="J45" s="68"/>
      <c r="M45" s="72" t="s">
        <v>52</v>
      </c>
    </row>
    <row r="46" spans="5:13" ht="13.5" thickBot="1" x14ac:dyDescent="0.25">
      <c r="E46" s="76" t="s">
        <v>58</v>
      </c>
      <c r="F46" s="61"/>
      <c r="G46" s="61"/>
      <c r="H46" s="61"/>
      <c r="I46" s="61"/>
      <c r="J46" s="69"/>
      <c r="M46" s="72" t="s">
        <v>53</v>
      </c>
    </row>
  </sheetData>
  <mergeCells count="8">
    <mergeCell ref="F41:J41"/>
    <mergeCell ref="G45:I45"/>
    <mergeCell ref="F16:J16"/>
    <mergeCell ref="G21:I21"/>
    <mergeCell ref="F26:J26"/>
    <mergeCell ref="G31:I31"/>
    <mergeCell ref="F38:G38"/>
    <mergeCell ref="I38:J38"/>
  </mergeCells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13</vt:i4>
      </vt:variant>
    </vt:vector>
  </HeadingPairs>
  <TitlesOfParts>
    <vt:vector size="16" baseType="lpstr">
      <vt:lpstr>Sheet1</vt:lpstr>
      <vt:lpstr>Sheet2</vt:lpstr>
      <vt:lpstr>Sheet4</vt:lpstr>
      <vt:lpstr>baseCalcs</vt:lpstr>
      <vt:lpstr>calcs</vt:lpstr>
      <vt:lpstr>covpay</vt:lpstr>
      <vt:lpstr>ECX</vt:lpstr>
      <vt:lpstr>eecontMax</vt:lpstr>
      <vt:lpstr>enrollOver8</vt:lpstr>
      <vt:lpstr>enrollUpTo</vt:lpstr>
      <vt:lpstr>ercont</vt:lpstr>
      <vt:lpstr>keyPct</vt:lpstr>
      <vt:lpstr>matchTable</vt:lpstr>
      <vt:lpstr>myinp</vt:lpstr>
      <vt:lpstr>result</vt:lpstr>
      <vt:lpstr>results</vt:lpstr>
    </vt:vector>
  </TitlesOfParts>
  <Company>Towers Watson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Dunn (Ben/Ret, White Plains)</dc:creator>
  <cp:lastModifiedBy>Mark Horowitz (Ben/Ret, Philadelphia)</cp:lastModifiedBy>
  <dcterms:created xsi:type="dcterms:W3CDTF">2012-11-28T12:00:03Z</dcterms:created>
  <dcterms:modified xsi:type="dcterms:W3CDTF">2015-07-14T17:09:21Z</dcterms:modified>
</cp:coreProperties>
</file>